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910" yWindow="795" windowWidth="19425" windowHeight="10425" firstSheet="2" activeTab="4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2" l="1"/>
  <c r="P46" i="2"/>
  <c r="R46" i="2"/>
  <c r="H62" i="1"/>
  <c r="H66" i="1"/>
  <c r="P37" i="2"/>
  <c r="R37" i="2"/>
  <c r="P35" i="2"/>
  <c r="M46" i="2" l="1"/>
  <c r="K46" i="2" s="1"/>
  <c r="M37" i="2"/>
  <c r="K37" i="2" s="1"/>
  <c r="I60" i="2"/>
  <c r="J60" i="2"/>
  <c r="U54" i="1" l="1"/>
  <c r="U53" i="1"/>
  <c r="U52" i="1"/>
  <c r="U51" i="1"/>
  <c r="U50" i="1"/>
  <c r="U36" i="1"/>
  <c r="H36" i="1" s="1"/>
  <c r="U35" i="1"/>
  <c r="H35" i="1" s="1"/>
  <c r="U31" i="1" l="1"/>
  <c r="H31" i="1" s="1"/>
  <c r="U32" i="1"/>
  <c r="U33" i="1"/>
  <c r="U34" i="1"/>
  <c r="U40" i="1"/>
  <c r="U41" i="1"/>
  <c r="U43" i="1"/>
  <c r="U45" i="1"/>
  <c r="U46" i="1"/>
  <c r="U47" i="1"/>
  <c r="U48" i="1"/>
  <c r="U49" i="1"/>
  <c r="V62" i="1" l="1"/>
  <c r="U59" i="1" l="1"/>
  <c r="U60" i="1"/>
  <c r="U30" i="1"/>
  <c r="H30" i="1" s="1"/>
  <c r="H69" i="1" s="1"/>
  <c r="J36" i="8"/>
  <c r="R36" i="8" s="1"/>
  <c r="M36" i="8" s="1"/>
  <c r="K36" i="8" l="1"/>
  <c r="J30" i="8"/>
  <c r="J31" i="8" l="1"/>
  <c r="N42" i="2" l="1"/>
  <c r="P42" i="2"/>
  <c r="R42" i="2"/>
  <c r="M42" i="2" l="1"/>
  <c r="K42" i="2" s="1"/>
  <c r="R55" i="2" l="1"/>
  <c r="P50" i="2"/>
  <c r="R50" i="2"/>
  <c r="N41" i="2"/>
  <c r="P41" i="2"/>
  <c r="R41" i="2"/>
  <c r="R29" i="2"/>
  <c r="M50" i="2" l="1"/>
  <c r="K50" i="2" s="1"/>
  <c r="M41" i="2"/>
  <c r="K41" i="2" s="1"/>
  <c r="P59" i="2" l="1"/>
  <c r="P55" i="2"/>
  <c r="M55" i="2" s="1"/>
  <c r="K55" i="2" s="1"/>
  <c r="R31" i="8" l="1"/>
  <c r="M31" i="8" s="1"/>
  <c r="K31" i="8" s="1"/>
  <c r="J32" i="8"/>
  <c r="J33" i="8"/>
  <c r="R33" i="8" s="1"/>
  <c r="M33" i="8" s="1"/>
  <c r="K33" i="8" s="1"/>
  <c r="J34" i="8"/>
  <c r="R34" i="8" s="1"/>
  <c r="M34" i="8" s="1"/>
  <c r="K34" i="8" s="1"/>
  <c r="J35" i="8"/>
  <c r="R35" i="8" s="1"/>
  <c r="M35" i="8" s="1"/>
  <c r="K35" i="8" s="1"/>
  <c r="J37" i="8"/>
  <c r="R37" i="8" s="1"/>
  <c r="M37" i="8" s="1"/>
  <c r="K37" i="8" s="1"/>
  <c r="J38" i="8"/>
  <c r="R38" i="8" s="1"/>
  <c r="M38" i="8" s="1"/>
  <c r="K38" i="8" s="1"/>
  <c r="J39" i="8"/>
  <c r="R39" i="8" s="1"/>
  <c r="M39" i="8" s="1"/>
  <c r="K39" i="8" s="1"/>
  <c r="J40" i="8"/>
  <c r="R40" i="8" s="1"/>
  <c r="M40" i="8" s="1"/>
  <c r="K40" i="8" s="1"/>
  <c r="J41" i="8"/>
  <c r="R41" i="8" s="1"/>
  <c r="M41" i="8" s="1"/>
  <c r="K41" i="8" s="1"/>
  <c r="J42" i="8"/>
  <c r="R42" i="8" s="1"/>
  <c r="M42" i="8" s="1"/>
  <c r="K42" i="8" s="1"/>
  <c r="J43" i="8"/>
  <c r="R43" i="8" s="1"/>
  <c r="M43" i="8" s="1"/>
  <c r="K43" i="8" s="1"/>
  <c r="J44" i="8"/>
  <c r="R44" i="8" s="1"/>
  <c r="M44" i="8" s="1"/>
  <c r="K44" i="8" s="1"/>
  <c r="J45" i="8"/>
  <c r="R45" i="8" s="1"/>
  <c r="M45" i="8" s="1"/>
  <c r="J46" i="8"/>
  <c r="R46" i="8" s="1"/>
  <c r="M46" i="8" s="1"/>
  <c r="K46" i="8" s="1"/>
  <c r="J47" i="8"/>
  <c r="R47" i="8" s="1"/>
  <c r="M47" i="8" s="1"/>
  <c r="K47" i="8" s="1"/>
  <c r="R32" i="8" l="1"/>
  <c r="M32" i="8" s="1"/>
  <c r="K32" i="8" s="1"/>
  <c r="R30" i="8"/>
  <c r="M30" i="8" s="1"/>
  <c r="K30" i="8" s="1"/>
  <c r="K45" i="8"/>
  <c r="N35" i="2" l="1"/>
  <c r="R35" i="2"/>
  <c r="P36" i="2"/>
  <c r="R36" i="2"/>
  <c r="N38" i="2"/>
  <c r="P38" i="2"/>
  <c r="R38" i="2"/>
  <c r="P39" i="2"/>
  <c r="R39" i="2"/>
  <c r="N40" i="2"/>
  <c r="P40" i="2"/>
  <c r="R40" i="2"/>
  <c r="P43" i="2"/>
  <c r="R43" i="2"/>
  <c r="P44" i="2"/>
  <c r="R44" i="2"/>
  <c r="N45" i="2"/>
  <c r="P45" i="2"/>
  <c r="R45" i="2"/>
  <c r="P47" i="2"/>
  <c r="R47" i="2"/>
  <c r="N48" i="2"/>
  <c r="P48" i="2"/>
  <c r="R48" i="2"/>
  <c r="P49" i="2"/>
  <c r="R49" i="2"/>
  <c r="P51" i="2"/>
  <c r="R51" i="2"/>
  <c r="N52" i="2"/>
  <c r="P52" i="2"/>
  <c r="R52" i="2"/>
  <c r="P53" i="2"/>
  <c r="R53" i="2"/>
  <c r="N54" i="2"/>
  <c r="P54" i="2"/>
  <c r="R54" i="2"/>
  <c r="U29" i="1"/>
  <c r="U62" i="1" s="1"/>
  <c r="M43" i="2" l="1"/>
  <c r="K43" i="2" s="1"/>
  <c r="M38" i="2"/>
  <c r="K38" i="2" s="1"/>
  <c r="M35" i="2"/>
  <c r="K35" i="2" s="1"/>
  <c r="M51" i="2"/>
  <c r="K51" i="2" s="1"/>
  <c r="M52" i="2"/>
  <c r="K52" i="2" s="1"/>
  <c r="M47" i="2"/>
  <c r="K47" i="2" s="1"/>
  <c r="M36" i="2"/>
  <c r="K36" i="2" s="1"/>
  <c r="M54" i="2"/>
  <c r="K54" i="2" s="1"/>
  <c r="M44" i="2"/>
  <c r="K44" i="2" s="1"/>
  <c r="M53" i="2"/>
  <c r="K53" i="2" s="1"/>
  <c r="M45" i="2"/>
  <c r="K45" i="2" s="1"/>
  <c r="M49" i="2"/>
  <c r="K49" i="2" s="1"/>
  <c r="M48" i="2"/>
  <c r="K48" i="2" s="1"/>
  <c r="M39" i="2"/>
  <c r="K39" i="2" s="1"/>
  <c r="M40" i="2"/>
  <c r="K40" i="2" s="1"/>
  <c r="C35" i="5"/>
  <c r="K39" i="4"/>
  <c r="H39" i="4" s="1"/>
  <c r="J29" i="8" l="1"/>
  <c r="J48" i="8" s="1"/>
  <c r="R29" i="8" l="1"/>
  <c r="K38" i="4"/>
  <c r="H38" i="4" s="1"/>
  <c r="H61" i="4" s="1"/>
  <c r="C54" i="5"/>
  <c r="C38" i="5" s="1"/>
  <c r="N33" i="2"/>
  <c r="P57" i="2"/>
  <c r="R57" i="2"/>
  <c r="P58" i="2"/>
  <c r="R58" i="2"/>
  <c r="M57" i="2" l="1"/>
  <c r="K57" i="2" s="1"/>
  <c r="M29" i="8"/>
  <c r="K29" i="8" s="1"/>
  <c r="K48" i="8" s="1"/>
  <c r="D54" i="5"/>
  <c r="X62" i="1"/>
  <c r="W62" i="1"/>
  <c r="D30" i="5"/>
  <c r="R59" i="2" l="1"/>
  <c r="M59" i="2" s="1"/>
  <c r="K59" i="2" s="1"/>
  <c r="J6" i="4" l="1"/>
  <c r="N5" i="3"/>
  <c r="B14" i="5"/>
  <c r="B8" i="5"/>
  <c r="R30" i="2"/>
  <c r="R31" i="2"/>
  <c r="R32" i="2"/>
  <c r="R33" i="2"/>
  <c r="R34" i="2"/>
  <c r="P33" i="2"/>
  <c r="P34" i="2"/>
  <c r="M34" i="2" l="1"/>
  <c r="K34" i="2" s="1"/>
  <c r="P29" i="2"/>
  <c r="M29" i="2" s="1"/>
  <c r="P32" i="2"/>
  <c r="M32" i="2" s="1"/>
  <c r="K32" i="2" s="1"/>
  <c r="K29" i="2" l="1"/>
  <c r="M33" i="2"/>
  <c r="K33" i="2" s="1"/>
  <c r="P30" i="2" l="1"/>
  <c r="M30" i="2" l="1"/>
  <c r="C47" i="5"/>
  <c r="P31" i="2"/>
  <c r="M31" i="2" s="1"/>
  <c r="K31" i="2" s="1"/>
  <c r="R60" i="2"/>
  <c r="C46" i="5"/>
  <c r="D46" i="5" s="1"/>
  <c r="C30" i="5"/>
  <c r="G6" i="4"/>
  <c r="G8" i="4"/>
  <c r="G11" i="4"/>
  <c r="G13" i="4"/>
  <c r="O60" i="2"/>
  <c r="Q60" i="2"/>
  <c r="S60" i="2"/>
  <c r="H60" i="2"/>
  <c r="C45" i="5" s="1"/>
  <c r="N60" i="2"/>
  <c r="D45" i="5" s="1"/>
  <c r="L60" i="2"/>
  <c r="M58" i="2"/>
  <c r="K58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K30" i="2" l="1"/>
  <c r="K60" i="2" s="1"/>
  <c r="M60" i="2"/>
  <c r="C28" i="5"/>
  <c r="C16" i="5" s="1"/>
  <c r="C44" i="5"/>
  <c r="B255" i="6"/>
  <c r="B258" i="6" s="1"/>
  <c r="R48" i="8"/>
  <c r="D47" i="5"/>
  <c r="F61" i="4"/>
  <c r="P60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</calcChain>
</file>

<file path=xl/sharedStrings.xml><?xml version="1.0" encoding="utf-8"?>
<sst xmlns="http://schemas.openxmlformats.org/spreadsheetml/2006/main" count="941" uniqueCount="686">
  <si>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</si>
  <si>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</si>
  <si>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</si>
  <si>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</si>
  <si>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</si>
  <si>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</si>
  <si>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</si>
  <si>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</si>
  <si>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</si>
  <si>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</si>
  <si>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</si>
  <si>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</si>
  <si>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</si>
  <si>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</si>
  <si>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</si>
  <si>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</si>
  <si>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</si>
  <si>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</si>
  <si>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</si>
  <si>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</si>
  <si>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</si>
  <si>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</si>
  <si>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</si>
  <si>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</si>
  <si>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</si>
  <si>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</si>
  <si>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</si>
  <si>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</si>
  <si>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</si>
  <si>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</si>
  <si>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</si>
  <si>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</si>
  <si>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</si>
  <si>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</si>
  <si>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</si>
  <si>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</si>
  <si>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</si>
  <si>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</si>
  <si>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</si>
  <si>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</si>
  <si>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</si>
  <si>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</si>
  <si>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</si>
  <si>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</si>
  <si>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</si>
  <si>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</si>
  <si>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</si>
  <si>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</si>
  <si>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</si>
  <si>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</si>
  <si>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</si>
  <si>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</si>
  <si>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</si>
  <si>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</si>
  <si>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</si>
  <si>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</si>
  <si>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</si>
  <si>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</si>
  <si>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</si>
  <si>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</si>
  <si>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</si>
  <si>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</si>
  <si>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</si>
  <si>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</si>
  <si>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</si>
  <si>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</si>
  <si>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</si>
  <si>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</si>
  <si>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</si>
  <si>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</si>
  <si>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</si>
  <si>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</si>
  <si>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</si>
  <si>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</si>
  <si>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</si>
  <si>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</si>
  <si>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</si>
  <si>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</si>
  <si>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</si>
  <si>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</si>
  <si>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</si>
  <si>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</si>
  <si>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</si>
  <si>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</si>
  <si>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</si>
  <si>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</si>
  <si>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</si>
  <si>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</si>
  <si>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</si>
  <si>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</si>
  <si>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</si>
  <si>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</si>
  <si>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</si>
  <si>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</si>
  <si>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</si>
  <si>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</si>
  <si>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</si>
  <si>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</si>
  <si>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</si>
  <si>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</si>
  <si>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</si>
  <si>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</si>
  <si>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</si>
  <si>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</si>
  <si>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</si>
  <si>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</si>
  <si>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</si>
  <si>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</si>
  <si>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</si>
  <si>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</si>
  <si>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</si>
  <si>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</si>
  <si>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</si>
  <si>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</si>
  <si>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</si>
  <si>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</si>
  <si>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</si>
  <si>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</si>
  <si>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</si>
  <si>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</si>
  <si>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</si>
  <si>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</si>
  <si>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</si>
  <si>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</si>
  <si>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</si>
  <si>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</si>
  <si>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</si>
  <si>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</si>
  <si>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</si>
  <si>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</si>
  <si>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</si>
  <si>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</si>
  <si>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</si>
  <si>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</si>
  <si>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</si>
  <si>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</si>
  <si>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</si>
  <si>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</si>
  <si>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</si>
  <si>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</si>
  <si>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</si>
  <si>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</si>
  <si>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</si>
  <si>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</si>
  <si>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</si>
  <si>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</si>
  <si>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</si>
  <si>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</si>
  <si>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</si>
  <si>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</si>
  <si>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</si>
  <si>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</si>
  <si>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</si>
  <si>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</si>
  <si>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</si>
  <si>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</si>
  <si>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</si>
  <si>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</si>
  <si>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</si>
  <si>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</si>
  <si>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</si>
  <si>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</si>
  <si>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</si>
  <si>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</si>
  <si>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</si>
  <si>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</si>
  <si>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</si>
  <si>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</si>
  <si>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</si>
  <si>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</si>
  <si>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</si>
  <si>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</si>
  <si>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</si>
  <si>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</si>
  <si>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</si>
  <si>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</si>
  <si>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</si>
  <si>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</si>
  <si>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</si>
  <si>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</si>
  <si>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</si>
  <si>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</si>
  <si>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</si>
  <si>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</si>
  <si>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</si>
  <si>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</si>
  <si>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</si>
  <si>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</si>
  <si>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</si>
  <si>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</si>
  <si>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</si>
  <si>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</si>
  <si>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</si>
  <si>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</si>
  <si>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</si>
  <si>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</si>
  <si>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</si>
  <si>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</si>
  <si>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</si>
  <si>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</si>
  <si>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</si>
  <si>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</si>
  <si>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</si>
  <si>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</si>
  <si>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</si>
  <si>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</si>
  <si>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</si>
  <si>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</si>
  <si>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</si>
  <si>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</si>
  <si>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</si>
  <si>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</si>
  <si>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</si>
  <si>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</si>
  <si>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</si>
  <si>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</si>
  <si>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</si>
  <si>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</si>
  <si>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</si>
  <si>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</si>
  <si>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</si>
  <si>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</si>
  <si>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</si>
  <si>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</si>
  <si>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</si>
  <si>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</si>
  <si>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</si>
  <si>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</si>
  <si>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</si>
  <si>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</si>
  <si>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</si>
  <si>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</si>
  <si>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</si>
  <si>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</si>
  <si>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</si>
  <si>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</si>
  <si>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</si>
  <si>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</si>
  <si>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</si>
  <si>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</si>
  <si>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</si>
  <si>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</si>
  <si>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</si>
  <si>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</si>
  <si>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</si>
  <si>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</si>
  <si>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</si>
  <si>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</si>
  <si>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</si>
  <si>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</si>
  <si>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</si>
  <si>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</si>
  <si>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</si>
  <si>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</si>
  <si>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</si>
  <si>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</si>
  <si>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</si>
  <si>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</si>
  <si>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</si>
  <si>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</si>
  <si>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</si>
  <si>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</si>
  <si>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</si>
  <si>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</si>
  <si>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</si>
  <si>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</si>
  <si>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</si>
  <si>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</si>
  <si>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</si>
  <si>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</si>
  <si>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</si>
  <si>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</si>
  <si>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</si>
  <si>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</si>
  <si>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</si>
  <si>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</si>
  <si>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</si>
  <si>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</si>
  <si>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</si>
  <si>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</si>
  <si>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</si>
  <si>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</si>
  <si>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</si>
  <si>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</si>
  <si>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</si>
  <si>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</si>
  <si>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</si>
  <si>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</si>
  <si>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</si>
  <si>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</si>
  <si>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</si>
  <si>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</si>
  <si>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</si>
  <si>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</si>
  <si>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</si>
  <si>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</si>
  <si>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</si>
  <si>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</si>
  <si>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</si>
  <si>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</si>
  <si>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</si>
  <si>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</si>
  <si>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</si>
  <si>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</si>
  <si>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</si>
  <si>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</si>
  <si>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</si>
  <si>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</si>
  <si>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</si>
  <si>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</si>
  <si>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</si>
  <si>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</si>
  <si>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</si>
  <si>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</si>
  <si>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</si>
  <si>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</si>
  <si>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</si>
  <si>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</si>
  <si>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</si>
  <si>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</si>
  <si>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</si>
  <si>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</si>
  <si>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</si>
  <si>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</si>
  <si>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</si>
  <si>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</si>
  <si>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</si>
  <si>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</si>
  <si>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</si>
  <si>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</si>
  <si>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</si>
  <si>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</si>
  <si>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</si>
  <si>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</si>
  <si>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</si>
  <si>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</si>
  <si>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</si>
  <si>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</si>
  <si>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</si>
  <si>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</si>
  <si>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</si>
  <si>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</si>
  <si>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</si>
  <si>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</si>
  <si>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</si>
  <si>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</si>
  <si>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</si>
  <si>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</si>
  <si>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</si>
  <si>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</si>
  <si>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</si>
  <si>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</si>
  <si>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</si>
  <si>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</si>
  <si>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</si>
  <si>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</si>
  <si>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</si>
  <si>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</si>
  <si>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</si>
  <si>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</si>
  <si>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</si>
  <si>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</si>
  <si>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</si>
  <si>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</si>
  <si>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</si>
  <si>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</si>
  <si>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</si>
  <si>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</si>
  <si>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</si>
  <si>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</si>
  <si>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</si>
  <si>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</si>
  <si>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</si>
  <si>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</si>
  <si>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</si>
  <si>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</si>
  <si>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</si>
  <si>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</si>
  <si>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</si>
  <si>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</si>
  <si>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</si>
  <si>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</si>
  <si>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</si>
  <si>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</si>
  <si>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</si>
  <si>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</si>
  <si>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</si>
  <si>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</si>
  <si>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</si>
  <si>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</si>
  <si>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</si>
  <si>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</si>
  <si>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</si>
  <si>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</si>
  <si>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</si>
  <si>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</si>
  <si>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</si>
  <si>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</si>
  <si>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</si>
  <si>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</si>
  <si>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</si>
  <si>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</si>
  <si>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</si>
  <si>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</si>
  <si>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</si>
  <si>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</si>
  <si>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</si>
  <si>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</si>
  <si>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</si>
  <si>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</si>
  <si>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</si>
  <si>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</si>
  <si>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</si>
  <si>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</si>
  <si>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</si>
  <si>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</si>
  <si>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</si>
  <si>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</si>
  <si>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</si>
  <si>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</si>
  <si>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</si>
  <si>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</si>
  <si>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</si>
  <si>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</si>
  <si>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</si>
  <si>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</si>
  <si>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</si>
  <si>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</si>
  <si>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</si>
  <si>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</si>
  <si>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</si>
  <si>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</si>
  <si>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</si>
  <si>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</si>
  <si>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</si>
  <si>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</si>
  <si>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</si>
  <si>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</si>
  <si>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</si>
  <si>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</si>
  <si>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</si>
  <si>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</si>
  <si>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</si>
  <si>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</si>
  <si>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</si>
  <si>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</si>
  <si>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</si>
  <si>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</si>
  <si>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</si>
  <si>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</si>
  <si>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</si>
  <si>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</si>
  <si>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</si>
  <si>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</si>
  <si>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</si>
  <si>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</si>
  <si>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</si>
  <si>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</si>
  <si>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</si>
  <si>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</si>
  <si>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</si>
  <si>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</si>
  <si>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</si>
  <si>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</si>
  <si>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</si>
  <si>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</si>
  <si>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</si>
  <si>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</si>
  <si>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</si>
  <si>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</si>
  <si>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</si>
  <si>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</si>
  <si>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</si>
  <si>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</si>
  <si>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</si>
  <si>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</si>
  <si>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</si>
  <si>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</si>
  <si>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</si>
  <si>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</si>
  <si>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</si>
  <si>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</si>
  <si>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</si>
  <si>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</si>
  <si>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</si>
  <si>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</si>
  <si>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</si>
  <si>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</si>
  <si>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</si>
  <si>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</si>
  <si>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</si>
  <si>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</si>
  <si>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</si>
  <si>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</si>
  <si>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</si>
  <si>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</si>
  <si>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</si>
  <si>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</si>
  <si>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</si>
  <si>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</si>
  <si>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</si>
  <si>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</si>
  <si>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</si>
  <si>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</si>
  <si>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</si>
  <si>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</si>
  <si>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</si>
  <si>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</si>
  <si>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</si>
  <si>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</si>
  <si>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</si>
  <si>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</si>
  <si>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</si>
  <si>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</si>
  <si>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</si>
  <si>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</si>
  <si>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</si>
  <si>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</si>
  <si>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</si>
  <si>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</si>
  <si>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</si>
  <si>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</si>
  <si>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</si>
  <si>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</si>
  <si>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</si>
  <si>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</si>
  <si>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</si>
  <si>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</si>
  <si>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</si>
  <si>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</si>
  <si>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</si>
  <si>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</si>
  <si>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</si>
  <si>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</si>
  <si>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</si>
  <si>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</si>
  <si>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</si>
  <si>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</si>
  <si>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</si>
  <si>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</si>
  <si>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</si>
  <si>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</si>
  <si>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</si>
  <si>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</si>
  <si>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</si>
  <si>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</si>
  <si>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</si>
  <si>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</si>
  <si>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</si>
  <si>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</si>
  <si>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</si>
  <si>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</si>
  <si>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</si>
  <si>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</si>
  <si>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</si>
  <si>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</si>
  <si>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</si>
  <si>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</si>
  <si>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</si>
  <si>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</si>
  <si>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</si>
  <si>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</si>
  <si>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</si>
  <si>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</si>
  <si>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</si>
  <si>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</si>
  <si>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</si>
  <si>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</si>
  <si>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</si>
  <si>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</si>
  <si>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</si>
  <si>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</si>
  <si>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</si>
  <si>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</si>
  <si>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</si>
  <si>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</si>
  <si>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</si>
  <si>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</si>
  <si>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</si>
  <si>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</si>
  <si>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</si>
  <si>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</si>
  <si>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</si>
  <si>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</si>
  <si>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</si>
  <si>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</si>
  <si>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</si>
  <si>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</si>
  <si>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</si>
  <si>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</si>
  <si>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</si>
  <si>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7/2020</t>
  </si>
  <si>
    <t>DAN</t>
  </si>
  <si>
    <t>tečaj</t>
  </si>
  <si>
    <t>Heinzelova 70, 10000 Zagreb</t>
  </si>
  <si>
    <t>Obala V. Nazora 7, 53288 Karlobag</t>
  </si>
  <si>
    <t>NL805734958B01</t>
  </si>
  <si>
    <t>HRK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</si>
  <si>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</si>
  <si>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</si>
  <si>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</si>
  <si>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</si>
  <si>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</si>
  <si>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</si>
  <si>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</si>
  <si>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</si>
  <si>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</si>
  <si>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Njemacka</t>
  </si>
  <si>
    <t>Obala V. Nazora 7/1, 53288 Karlobag</t>
  </si>
  <si>
    <t>Lagerhaus Zwettl</t>
  </si>
  <si>
    <t>Pater Werner Deibl Str. 7, 3910 Zwettl</t>
  </si>
  <si>
    <t>ATU 16319106</t>
  </si>
  <si>
    <t>ab 1.1.2023 ist Wechselkurs = € 1,-</t>
  </si>
  <si>
    <t>Austrija</t>
  </si>
  <si>
    <t>Burger Thomas</t>
  </si>
  <si>
    <t>Thomas Schütze</t>
  </si>
  <si>
    <t>Polska</t>
  </si>
  <si>
    <t>Birgit Bayerl</t>
  </si>
  <si>
    <t>Hrvatski Telekom d.d.</t>
  </si>
  <si>
    <t>Radnicka Cesta 21, 10135 Zagreb, HR</t>
  </si>
  <si>
    <t>booking.com</t>
  </si>
  <si>
    <t>Herengracht 597, 1017 Amsterdam</t>
  </si>
  <si>
    <t>HEP Elektra d.o.o.</t>
  </si>
  <si>
    <t>Ulica grada Vukovara 37, Zagreb</t>
  </si>
  <si>
    <t>106007710943</t>
  </si>
  <si>
    <t>106007710940</t>
  </si>
  <si>
    <t>106007710941</t>
  </si>
  <si>
    <t>106007710942</t>
  </si>
  <si>
    <t>18910-8231</t>
  </si>
  <si>
    <t>18902-8238</t>
  </si>
  <si>
    <t>18929-8235</t>
  </si>
  <si>
    <t>Sonnentor Kräuterhandels GmbH</t>
  </si>
  <si>
    <t>Sprögnitz 10, 3913 Zwettl</t>
  </si>
  <si>
    <t>ATU38904708</t>
  </si>
  <si>
    <t>100008225631</t>
  </si>
  <si>
    <t>100008225630</t>
  </si>
  <si>
    <t>100008225629</t>
  </si>
  <si>
    <t>100008225628</t>
  </si>
  <si>
    <t>2002-LLC-360</t>
  </si>
  <si>
    <t>18910-9238</t>
  </si>
  <si>
    <t>18929-9231</t>
  </si>
  <si>
    <t>18902-9234</t>
  </si>
  <si>
    <t>6300114795-288-2</t>
  </si>
  <si>
    <t>95-823</t>
  </si>
  <si>
    <t>Gorjup Andreas</t>
  </si>
  <si>
    <t>96-823</t>
  </si>
  <si>
    <t>36-23</t>
  </si>
  <si>
    <t>37-23</t>
  </si>
  <si>
    <t>Andreas Gorjup</t>
  </si>
  <si>
    <t>38-23</t>
  </si>
  <si>
    <t>Manuela Richter</t>
  </si>
  <si>
    <t>97-823</t>
  </si>
  <si>
    <t>Thomas Burger</t>
  </si>
  <si>
    <t>98-823</t>
  </si>
  <si>
    <t>Corina Lau</t>
  </si>
  <si>
    <t>39-23</t>
  </si>
  <si>
    <t>Kabel Bassam</t>
  </si>
  <si>
    <t>40-23</t>
  </si>
  <si>
    <t>Abas Aiham</t>
  </si>
  <si>
    <t>41-23</t>
  </si>
  <si>
    <t>Johannes Schwarz</t>
  </si>
  <si>
    <t>42-23</t>
  </si>
  <si>
    <t>Grzyb Tomasz</t>
  </si>
  <si>
    <t>43-23</t>
  </si>
  <si>
    <t>Fock Wolfgang</t>
  </si>
  <si>
    <t>44-23</t>
  </si>
  <si>
    <t>Nagy Laszlo</t>
  </si>
  <si>
    <t>Madaiska</t>
  </si>
  <si>
    <t>45-23</t>
  </si>
  <si>
    <t>Kristof Lea</t>
  </si>
  <si>
    <t>46-23</t>
  </si>
  <si>
    <t>Simona Puverle</t>
  </si>
  <si>
    <t>Ceske</t>
  </si>
  <si>
    <t>47-23</t>
  </si>
  <si>
    <t>Diether Stephan</t>
  </si>
  <si>
    <t>48-23</t>
  </si>
  <si>
    <t>Franz Löschenbrand</t>
  </si>
  <si>
    <t>49-23</t>
  </si>
  <si>
    <t>50-23</t>
  </si>
  <si>
    <t>Klemmer Martin</t>
  </si>
  <si>
    <t>51-23</t>
  </si>
  <si>
    <t>Alexander Lochmann</t>
  </si>
  <si>
    <t>52-23</t>
  </si>
  <si>
    <t>Pryszcz Aneta</t>
  </si>
  <si>
    <t>1595738244</t>
  </si>
  <si>
    <t>2315-LLC-360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</si>
</sst>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17" fillId="0" borderId="39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49" fontId="0" fillId="0" borderId="17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2" fontId="4" fillId="0" borderId="17" xfId="0" applyNumberFormat="1" applyFont="1" applyFill="1" applyBorder="1"/>
    <xf numFmtId="0" fontId="4" fillId="0" borderId="17" xfId="0" applyFont="1" applyFill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/>
    <xf numFmtId="0" fontId="4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/>
    </xf>
    <xf numFmtId="4" fontId="4" fillId="0" borderId="12" xfId="0" applyNumberFormat="1" applyFont="1" applyFill="1" applyBorder="1"/>
    <xf numFmtId="2" fontId="4" fillId="0" borderId="12" xfId="0" applyNumberFormat="1" applyFont="1" applyFill="1" applyBorder="1"/>
    <xf numFmtId="0" fontId="0" fillId="0" borderId="10" xfId="0" applyFill="1" applyBorder="1"/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2" fontId="4" fillId="0" borderId="10" xfId="0" applyNumberFormat="1" applyFont="1" applyFill="1" applyBorder="1"/>
    <xf numFmtId="0" fontId="4" fillId="0" borderId="10" xfId="0" applyFont="1" applyFill="1" applyBorder="1"/>
    <xf numFmtId="14" fontId="0" fillId="0" borderId="12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0" fontId="0" fillId="0" borderId="4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6" xfId="0" applyFill="1" applyBorder="1"/>
    <xf numFmtId="0" fontId="4" fillId="0" borderId="4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right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29" t="str">
        <f>INDEX(PRIJEVODI!B:D,MATCH("PDV-S-001",PRIJEVODI!A:A,0),MATCH(NASLOV!$B$2,PRIJEVODI!$B$1:$D$1,0))</f>
        <v>UVA Formular</v>
      </c>
      <c r="J3" s="229"/>
      <c r="K3" s="229"/>
    </row>
    <row r="4" spans="2:11" x14ac:dyDescent="0.2">
      <c r="I4" s="229"/>
      <c r="J4" s="229"/>
      <c r="K4" s="229"/>
    </row>
    <row r="5" spans="2:11" ht="12.75" customHeight="1" x14ac:dyDescent="0.2"/>
    <row r="6" spans="2:11" ht="12.75" customHeight="1" x14ac:dyDescent="0.2">
      <c r="B6" s="214" t="str">
        <f>INDEX(PRIJEVODI!B:D,MATCH("PDV-S-002",PRIJEVODI!A:A,0),MATCH(NASLOV!$B$2,PRIJEVODI!$B$1:$D$1,0))</f>
        <v>ZUSTÄNDIGES FINANZAMT - REGIONALBÜRO (1)</v>
      </c>
      <c r="C6" s="215"/>
      <c r="D6" s="284" t="s">
        <v>570</v>
      </c>
      <c r="E6" s="285"/>
      <c r="G6" s="278" t="str">
        <f>INDEX(PRIJEVODI!B:D,MATCH("PDV-S-004",PRIJEVODI!A:A,0),MATCH(NASLOV!$B$2,PRIJEVODI!$B$1:$D$1,0))</f>
        <v>STEUERNUMMER (UID) (3)</v>
      </c>
      <c r="H6" s="280"/>
      <c r="I6" s="272" t="str">
        <f>INDEX(PRIJEVODI!B:D,MATCH("PDV-S-005",PRIJEVODI!A:A,0),MATCH(NASLOV!$B$2,PRIJEVODI!$B$1:$D$1,0))</f>
        <v>HR</v>
      </c>
      <c r="J6" s="239" t="str">
        <f>+NASLOV!B9</f>
        <v>HR6411581446</v>
      </c>
      <c r="K6" s="245"/>
    </row>
    <row r="7" spans="2:11" ht="12.75" customHeight="1" x14ac:dyDescent="0.2">
      <c r="B7" s="216"/>
      <c r="C7" s="217"/>
      <c r="D7" s="286"/>
      <c r="E7" s="287"/>
      <c r="G7" s="281"/>
      <c r="H7" s="283"/>
      <c r="I7" s="274"/>
      <c r="J7" s="241"/>
      <c r="K7" s="250"/>
    </row>
    <row r="8" spans="2:11" ht="12.75" customHeight="1" x14ac:dyDescent="0.2">
      <c r="B8" s="218"/>
      <c r="C8" s="219"/>
      <c r="D8" s="288"/>
      <c r="E8" s="289"/>
      <c r="G8" s="214" t="str">
        <f>INDEX(PRIJEVODI!B:D,MATCH("PDV-S-006",PRIJEVODI!A:A,0),MATCH(NASLOV!$B$2,PRIJEVODI!$B$1:$D$1,0))</f>
        <v>Steuerpflichtiger (Titel/Name und Nachname)  (4)</v>
      </c>
      <c r="H8" s="215"/>
      <c r="I8" s="277" t="str">
        <f>NASLOV!B5</f>
        <v>Markus Renz</v>
      </c>
      <c r="J8" s="232"/>
      <c r="K8" s="238"/>
    </row>
    <row r="9" spans="2:11" ht="12.75" customHeight="1" x14ac:dyDescent="0.2">
      <c r="B9" s="239" t="str">
        <f>INDEX(PRIJEVODI!B:D,MATCH("PDV-S-003",PRIJEVODI!A:A,0),MATCH(NASLOV!$B$2,PRIJEVODI!$B$1:$D$1,0))</f>
        <v xml:space="preserve">Aussenstelle </v>
      </c>
      <c r="C9" s="245"/>
      <c r="D9" s="284" t="s">
        <v>571</v>
      </c>
      <c r="E9" s="285"/>
      <c r="G9" s="216"/>
      <c r="H9" s="217"/>
      <c r="I9" s="309"/>
      <c r="J9" s="310"/>
      <c r="K9" s="233"/>
    </row>
    <row r="10" spans="2:11" ht="12.75" customHeight="1" x14ac:dyDescent="0.2">
      <c r="B10" s="240"/>
      <c r="C10" s="252"/>
      <c r="D10" s="286"/>
      <c r="E10" s="287"/>
      <c r="G10" s="218"/>
      <c r="H10" s="219"/>
      <c r="I10" s="234"/>
      <c r="J10" s="235"/>
      <c r="K10" s="236"/>
    </row>
    <row r="11" spans="2:11" ht="12.75" customHeight="1" x14ac:dyDescent="0.2">
      <c r="B11" s="241"/>
      <c r="C11" s="250"/>
      <c r="D11" s="288"/>
      <c r="E11" s="289"/>
      <c r="G11" s="278" t="str">
        <f>INDEX(PRIJEVODI!B:D,MATCH("PDV-S-007",PRIJEVODI!A:A,0),MATCH(NASLOV!$B$2,PRIJEVODI!$B$1:$D$1,0))</f>
        <v>Adresse (Ort, Strasse und Hausnummer)  (5)</v>
      </c>
      <c r="H11" s="280"/>
      <c r="I11" s="277" t="str">
        <f>NASLOV!B7</f>
        <v>Am Sonnblick 6, Lichtenau</v>
      </c>
      <c r="J11" s="232"/>
      <c r="K11" s="238"/>
    </row>
    <row r="12" spans="2:11" ht="12.75" customHeight="1" x14ac:dyDescent="0.2">
      <c r="G12" s="281"/>
      <c r="H12" s="283"/>
      <c r="I12" s="234"/>
      <c r="J12" s="235"/>
      <c r="K12" s="236"/>
    </row>
    <row r="13" spans="2:11" ht="12.75" customHeight="1" x14ac:dyDescent="0.2">
      <c r="G13" s="214" t="str">
        <f>INDEX(PRIJEVODI!B:D,MATCH("PDV-S-008",PRIJEVODI!A:A,0),MATCH(NASLOV!$B$2,PRIJEVODI!$B$1:$D$1,0))</f>
        <v xml:space="preserve">Steuernummer UID des Steuervertreters </v>
      </c>
      <c r="H13" s="215"/>
      <c r="I13" s="272" t="s">
        <v>1</v>
      </c>
      <c r="J13" s="277"/>
      <c r="K13" s="238"/>
    </row>
    <row r="14" spans="2:11" x14ac:dyDescent="0.2">
      <c r="G14" s="218"/>
      <c r="H14" s="219"/>
      <c r="I14" s="274"/>
      <c r="J14" s="234"/>
      <c r="K14" s="236"/>
    </row>
    <row r="20" spans="2:14" ht="12.75" customHeight="1" x14ac:dyDescent="0.2">
      <c r="B20" s="290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90"/>
      <c r="D20" s="290"/>
      <c r="E20" s="290"/>
      <c r="F20" s="290"/>
      <c r="G20" s="290"/>
      <c r="H20" s="290"/>
      <c r="I20" s="290"/>
    </row>
    <row r="21" spans="2:14" x14ac:dyDescent="0.2">
      <c r="B21" s="290"/>
      <c r="C21" s="290"/>
      <c r="D21" s="290"/>
      <c r="E21" s="290"/>
      <c r="F21" s="290"/>
      <c r="G21" s="290"/>
      <c r="H21" s="290"/>
      <c r="I21" s="290"/>
    </row>
    <row r="22" spans="2:14" x14ac:dyDescent="0.2">
      <c r="B22" s="290"/>
      <c r="C22" s="290"/>
      <c r="D22" s="290"/>
      <c r="E22" s="290"/>
      <c r="F22" s="290"/>
      <c r="G22" s="290"/>
      <c r="H22" s="290"/>
      <c r="I22" s="290"/>
    </row>
    <row r="23" spans="2:14" x14ac:dyDescent="0.2">
      <c r="B23" s="290"/>
      <c r="C23" s="290"/>
      <c r="D23" s="290"/>
      <c r="E23" s="290"/>
      <c r="F23" s="290"/>
      <c r="G23" s="290"/>
      <c r="H23" s="290"/>
      <c r="I23" s="290"/>
    </row>
    <row r="26" spans="2:14" x14ac:dyDescent="0.2">
      <c r="B26" s="220" t="str">
        <f>INDEX(PRIJEVODI!B:D,MATCH("PDV-S-010",PRIJEVODI!A:A,0),MATCH(NASLOV!$B$2,PRIJEVODI!$B$1:$D$1,0))</f>
        <v>Ordnugsnummer  (8)</v>
      </c>
      <c r="C26" s="220" t="str">
        <f>INDEX(PRIJEVODI!B:D,MATCH("PDV-S-011",PRIJEVODI!A:A,0),MATCH(NASLOV!$B$2,PRIJEVODI!$B$1:$D$1,0))</f>
        <v>Landescode  (9)</v>
      </c>
      <c r="D26" s="214" t="str">
        <f>INDEX(PRIJEVODI!B:D,MATCH("PDV-S-012",PRIJEVODI!A:A,0),MATCH(NASLOV!$B$2,PRIJEVODI!$B$1:$D$1,0))</f>
        <v>Steuernummer UID der Lieferanten (ohne Landesvorwahl)  (10)</v>
      </c>
      <c r="E26" s="215"/>
      <c r="F26" s="214" t="str">
        <f>INDEX(PRIJEVODI!B:D,MATCH("PDV-S-013",PRIJEVODI!A:A,0),MATCH(NASLOV!$B$2,PRIJEVODI!$B$1:$D$1,0))</f>
        <v>Wert der erworbenen Güter (in Kuna und Lipa)  (11)</v>
      </c>
      <c r="G26" s="215"/>
      <c r="H26" s="214" t="str">
        <f>INDEX(PRIJEVODI!B:D,MATCH("PDV-S-014",PRIJEVODI!A:A,0),MATCH(NASLOV!$B$2,PRIJEVODI!$B$1:$D$1,0))</f>
        <v>Wert der erhaltenen Dienstleistungen (in Kuna und Lipa)  (12)</v>
      </c>
      <c r="I26" s="215"/>
    </row>
    <row r="27" spans="2:14" x14ac:dyDescent="0.2">
      <c r="B27" s="221"/>
      <c r="C27" s="221"/>
      <c r="D27" s="216"/>
      <c r="E27" s="217"/>
      <c r="F27" s="216"/>
      <c r="G27" s="217"/>
      <c r="H27" s="216"/>
      <c r="I27" s="217"/>
    </row>
    <row r="28" spans="2:14" x14ac:dyDescent="0.2">
      <c r="B28" s="221"/>
      <c r="C28" s="221"/>
      <c r="D28" s="216"/>
      <c r="E28" s="217"/>
      <c r="F28" s="216"/>
      <c r="G28" s="217"/>
      <c r="H28" s="216"/>
      <c r="I28" s="217"/>
    </row>
    <row r="29" spans="2:14" x14ac:dyDescent="0.2">
      <c r="B29" s="221"/>
      <c r="C29" s="221"/>
      <c r="D29" s="216"/>
      <c r="E29" s="217"/>
      <c r="F29" s="216"/>
      <c r="G29" s="217"/>
      <c r="H29" s="216"/>
      <c r="I29" s="217"/>
    </row>
    <row r="30" spans="2:14" x14ac:dyDescent="0.2">
      <c r="B30" s="221"/>
      <c r="C30" s="221"/>
      <c r="D30" s="216"/>
      <c r="E30" s="217"/>
      <c r="F30" s="216"/>
      <c r="G30" s="217"/>
      <c r="H30" s="216"/>
      <c r="I30" s="217"/>
    </row>
    <row r="31" spans="2:14" x14ac:dyDescent="0.2">
      <c r="B31" s="221"/>
      <c r="C31" s="221"/>
      <c r="D31" s="216"/>
      <c r="E31" s="217"/>
      <c r="F31" s="216"/>
      <c r="G31" s="217"/>
      <c r="H31" s="216"/>
      <c r="I31" s="217"/>
    </row>
    <row r="32" spans="2:14" x14ac:dyDescent="0.2">
      <c r="B32" s="221"/>
      <c r="C32" s="221"/>
      <c r="D32" s="216"/>
      <c r="E32" s="217"/>
      <c r="F32" s="216"/>
      <c r="G32" s="217"/>
      <c r="H32" s="216"/>
      <c r="I32" s="217"/>
      <c r="K32" s="119"/>
      <c r="L32" s="119"/>
      <c r="M32" s="119"/>
      <c r="N32" s="119"/>
    </row>
    <row r="33" spans="2:14" x14ac:dyDescent="0.2">
      <c r="B33" s="221"/>
      <c r="C33" s="221"/>
      <c r="D33" s="216"/>
      <c r="E33" s="217"/>
      <c r="F33" s="216"/>
      <c r="G33" s="217"/>
      <c r="H33" s="216"/>
      <c r="I33" s="217"/>
      <c r="K33" s="119"/>
      <c r="L33" s="119"/>
      <c r="M33" s="119"/>
      <c r="N33" s="119"/>
    </row>
    <row r="34" spans="2:14" x14ac:dyDescent="0.2">
      <c r="B34" s="221"/>
      <c r="C34" s="221"/>
      <c r="D34" s="216"/>
      <c r="E34" s="217"/>
      <c r="F34" s="216"/>
      <c r="G34" s="217"/>
      <c r="H34" s="216"/>
      <c r="I34" s="217"/>
      <c r="K34" s="119"/>
      <c r="L34" s="119"/>
      <c r="M34" s="119"/>
      <c r="N34" s="119"/>
    </row>
    <row r="35" spans="2:14" x14ac:dyDescent="0.2">
      <c r="B35" s="222"/>
      <c r="C35" s="222"/>
      <c r="D35" s="218"/>
      <c r="E35" s="219"/>
      <c r="F35" s="218"/>
      <c r="G35" s="219"/>
      <c r="H35" s="218"/>
      <c r="I35" s="219"/>
      <c r="K35" s="119"/>
      <c r="L35" s="119"/>
      <c r="M35" s="119"/>
      <c r="N35" s="119"/>
    </row>
    <row r="36" spans="2:14" x14ac:dyDescent="0.2">
      <c r="B36" s="2"/>
      <c r="C36" s="2"/>
      <c r="D36" s="302"/>
      <c r="E36" s="303"/>
      <c r="F36" s="120"/>
      <c r="G36" s="121"/>
      <c r="H36" s="304"/>
      <c r="I36" s="305"/>
      <c r="K36" s="153"/>
      <c r="L36" s="152"/>
      <c r="M36" s="155"/>
      <c r="N36" s="152"/>
    </row>
    <row r="37" spans="2:14" x14ac:dyDescent="0.2">
      <c r="B37" s="2"/>
      <c r="C37" s="2"/>
      <c r="D37" s="302"/>
      <c r="E37" s="303"/>
      <c r="F37" s="304"/>
      <c r="G37" s="305"/>
      <c r="H37" s="304"/>
      <c r="I37" s="305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294"/>
      <c r="G38" s="295"/>
      <c r="H38" s="307">
        <f>K38</f>
        <v>0</v>
      </c>
      <c r="I38" s="308"/>
      <c r="K38" s="154">
        <f>'IC Aq'!J29</f>
        <v>0</v>
      </c>
      <c r="L38" s="119"/>
      <c r="M38" s="155" t="s">
        <v>596</v>
      </c>
      <c r="N38" s="119"/>
    </row>
    <row r="39" spans="2:14" x14ac:dyDescent="0.2">
      <c r="B39" s="2">
        <v>2</v>
      </c>
      <c r="C39" s="2"/>
      <c r="D39" s="302" t="s">
        <v>596</v>
      </c>
      <c r="E39" s="303"/>
      <c r="F39" s="306"/>
      <c r="G39" s="295"/>
      <c r="H39" s="307" t="e">
        <f>K39</f>
        <v>#REF!</v>
      </c>
      <c r="I39" s="308"/>
      <c r="K39" s="154" t="e">
        <f>'IC Aq'!#REF!</f>
        <v>#REF!</v>
      </c>
      <c r="L39" s="119"/>
      <c r="M39" s="155" t="s">
        <v>596</v>
      </c>
      <c r="N39" s="119"/>
    </row>
    <row r="40" spans="2:14" x14ac:dyDescent="0.2">
      <c r="B40" s="2"/>
      <c r="C40" s="2"/>
      <c r="D40" s="294"/>
      <c r="E40" s="295"/>
      <c r="F40" s="294"/>
      <c r="G40" s="295"/>
      <c r="H40" s="294"/>
      <c r="I40" s="295"/>
      <c r="K40" s="119"/>
      <c r="L40" s="119"/>
      <c r="M40" s="119"/>
      <c r="N40" s="119"/>
    </row>
    <row r="41" spans="2:14" x14ac:dyDescent="0.2">
      <c r="B41" s="2"/>
      <c r="C41" s="2"/>
      <c r="D41" s="294"/>
      <c r="E41" s="295"/>
      <c r="F41" s="294"/>
      <c r="G41" s="295"/>
      <c r="H41" s="294"/>
      <c r="I41" s="295"/>
      <c r="K41" s="119"/>
      <c r="L41" s="119"/>
      <c r="M41" s="119"/>
      <c r="N41" s="119"/>
    </row>
    <row r="42" spans="2:14" x14ac:dyDescent="0.2">
      <c r="B42" s="2"/>
      <c r="C42" s="2"/>
      <c r="D42" s="294"/>
      <c r="E42" s="295"/>
      <c r="F42" s="294"/>
      <c r="G42" s="295"/>
      <c r="H42" s="294"/>
      <c r="I42" s="295"/>
      <c r="K42" s="119"/>
      <c r="L42" s="119"/>
      <c r="M42" s="119"/>
      <c r="N42" s="119"/>
    </row>
    <row r="43" spans="2:14" x14ac:dyDescent="0.2">
      <c r="B43" s="2"/>
      <c r="C43" s="2"/>
      <c r="D43" s="294"/>
      <c r="E43" s="295"/>
      <c r="F43" s="294"/>
      <c r="G43" s="295"/>
      <c r="H43" s="294"/>
      <c r="I43" s="295"/>
      <c r="K43" s="119"/>
      <c r="L43" s="119"/>
      <c r="M43" s="119"/>
      <c r="N43" s="119"/>
    </row>
    <row r="44" spans="2:14" x14ac:dyDescent="0.2">
      <c r="B44" s="2"/>
      <c r="C44" s="2"/>
      <c r="D44" s="294"/>
      <c r="E44" s="295"/>
      <c r="F44" s="294"/>
      <c r="G44" s="295"/>
      <c r="H44" s="294"/>
      <c r="I44" s="295"/>
    </row>
    <row r="45" spans="2:14" x14ac:dyDescent="0.2">
      <c r="B45" s="2"/>
      <c r="C45" s="2"/>
      <c r="D45" s="294"/>
      <c r="E45" s="295"/>
      <c r="F45" s="294"/>
      <c r="G45" s="295"/>
      <c r="H45" s="294"/>
      <c r="I45" s="295"/>
    </row>
    <row r="46" spans="2:14" x14ac:dyDescent="0.2">
      <c r="B46" s="2"/>
      <c r="C46" s="2"/>
      <c r="D46" s="294"/>
      <c r="E46" s="295"/>
      <c r="F46" s="294"/>
      <c r="G46" s="295"/>
      <c r="H46" s="294"/>
      <c r="I46" s="295"/>
    </row>
    <row r="47" spans="2:14" x14ac:dyDescent="0.2">
      <c r="B47" s="2"/>
      <c r="C47" s="2"/>
      <c r="D47" s="294"/>
      <c r="E47" s="295"/>
      <c r="F47" s="294"/>
      <c r="G47" s="295"/>
      <c r="H47" s="294"/>
      <c r="I47" s="295"/>
    </row>
    <row r="48" spans="2:14" x14ac:dyDescent="0.2">
      <c r="B48" s="2"/>
      <c r="C48" s="2"/>
      <c r="D48" s="294"/>
      <c r="E48" s="295"/>
      <c r="F48" s="299"/>
      <c r="G48" s="300"/>
      <c r="H48" s="294"/>
      <c r="I48" s="295"/>
    </row>
    <row r="49" spans="2:9" x14ac:dyDescent="0.2">
      <c r="B49" s="2"/>
      <c r="C49" s="2"/>
      <c r="D49" s="294"/>
      <c r="E49" s="295"/>
      <c r="F49" s="294"/>
      <c r="G49" s="295"/>
      <c r="H49" s="294"/>
      <c r="I49" s="295"/>
    </row>
    <row r="50" spans="2:9" x14ac:dyDescent="0.2">
      <c r="B50" s="2"/>
      <c r="C50" s="2"/>
      <c r="D50" s="294"/>
      <c r="E50" s="295"/>
      <c r="F50" s="294"/>
      <c r="G50" s="295"/>
      <c r="H50" s="294"/>
      <c r="I50" s="295"/>
    </row>
    <row r="51" spans="2:9" x14ac:dyDescent="0.2">
      <c r="B51" s="2"/>
      <c r="C51" s="2"/>
      <c r="D51" s="294"/>
      <c r="E51" s="295"/>
      <c r="F51" s="294"/>
      <c r="G51" s="295"/>
      <c r="H51" s="294"/>
      <c r="I51" s="295"/>
    </row>
    <row r="52" spans="2:9" x14ac:dyDescent="0.2">
      <c r="B52" s="2"/>
      <c r="C52" s="2"/>
      <c r="D52" s="294"/>
      <c r="E52" s="295"/>
      <c r="F52" s="294"/>
      <c r="G52" s="295"/>
      <c r="H52" s="294"/>
      <c r="I52" s="295"/>
    </row>
    <row r="53" spans="2:9" x14ac:dyDescent="0.2">
      <c r="B53" s="2"/>
      <c r="C53" s="2"/>
      <c r="D53" s="294"/>
      <c r="E53" s="295"/>
      <c r="F53" s="294"/>
      <c r="G53" s="295"/>
      <c r="H53" s="294"/>
      <c r="I53" s="295"/>
    </row>
    <row r="54" spans="2:9" x14ac:dyDescent="0.2">
      <c r="B54" s="2"/>
      <c r="C54" s="2"/>
      <c r="D54" s="294"/>
      <c r="E54" s="295"/>
      <c r="F54" s="294"/>
      <c r="G54" s="295"/>
      <c r="H54" s="294"/>
      <c r="I54" s="295"/>
    </row>
    <row r="55" spans="2:9" x14ac:dyDescent="0.2">
      <c r="B55" s="2"/>
      <c r="C55" s="2"/>
      <c r="D55" s="294"/>
      <c r="E55" s="295"/>
      <c r="F55" s="294"/>
      <c r="G55" s="295"/>
      <c r="H55" s="294"/>
      <c r="I55" s="295"/>
    </row>
    <row r="56" spans="2:9" x14ac:dyDescent="0.2">
      <c r="B56" s="2"/>
      <c r="C56" s="2"/>
      <c r="D56" s="294"/>
      <c r="E56" s="295"/>
      <c r="F56" s="294"/>
      <c r="G56" s="295"/>
      <c r="H56" s="294"/>
      <c r="I56" s="295"/>
    </row>
    <row r="57" spans="2:9" x14ac:dyDescent="0.2">
      <c r="B57" s="2"/>
      <c r="C57" s="2"/>
      <c r="D57" s="294"/>
      <c r="E57" s="295"/>
      <c r="F57" s="294"/>
      <c r="G57" s="295"/>
      <c r="H57" s="294"/>
      <c r="I57" s="295"/>
    </row>
    <row r="58" spans="2:9" x14ac:dyDescent="0.2">
      <c r="B58" s="2"/>
      <c r="C58" s="2"/>
      <c r="D58" s="294"/>
      <c r="E58" s="295"/>
      <c r="F58" s="294"/>
      <c r="G58" s="295"/>
      <c r="H58" s="294"/>
      <c r="I58" s="295"/>
    </row>
    <row r="59" spans="2:9" x14ac:dyDescent="0.2">
      <c r="B59" s="2"/>
      <c r="C59" s="2"/>
      <c r="D59" s="294"/>
      <c r="E59" s="295"/>
      <c r="F59" s="294"/>
      <c r="G59" s="295"/>
      <c r="H59" s="294"/>
      <c r="I59" s="295"/>
    </row>
    <row r="60" spans="2:9" x14ac:dyDescent="0.2">
      <c r="B60" s="2"/>
      <c r="C60" s="2"/>
      <c r="D60" s="294"/>
      <c r="E60" s="295"/>
      <c r="F60" s="294"/>
      <c r="G60" s="295"/>
      <c r="H60" s="294"/>
      <c r="I60" s="295"/>
    </row>
    <row r="61" spans="2:9" x14ac:dyDescent="0.2">
      <c r="B61" s="277" t="str">
        <f>INDEX(PRIJEVODI!B:D,MATCH("PDV-S-015",PRIJEVODI!A:A,0),MATCH(NASLOV!$B$2,PRIJEVODI!$B$1:$D$1,0))</f>
        <v>Gesamtwert</v>
      </c>
      <c r="C61" s="232"/>
      <c r="D61" s="232"/>
      <c r="E61" s="238"/>
      <c r="F61" s="311">
        <f>+F36</f>
        <v>0</v>
      </c>
      <c r="G61" s="238"/>
      <c r="H61" s="311">
        <f>+H37+H38</f>
        <v>0</v>
      </c>
      <c r="I61" s="238"/>
    </row>
    <row r="62" spans="2:9" x14ac:dyDescent="0.2">
      <c r="B62" s="234"/>
      <c r="C62" s="235"/>
      <c r="D62" s="235"/>
      <c r="E62" s="236"/>
      <c r="F62" s="234"/>
      <c r="G62" s="236"/>
      <c r="H62" s="234"/>
      <c r="I62" s="236"/>
    </row>
    <row r="70" spans="2:14" x14ac:dyDescent="0.2">
      <c r="B70" s="239" t="str">
        <f>INDEX(PRIJEVODI!B:D,MATCH("PDV-S-016",PRIJEVODI!A:A,0),MATCH(NASLOV!$B$2,PRIJEVODI!$B$1:$D$1,0))</f>
        <v>Hiermit bestätige ich die Richtigkeit der genannten Daten</v>
      </c>
      <c r="C70" s="248"/>
      <c r="D70" s="248"/>
      <c r="E70" s="248"/>
      <c r="F70" s="248"/>
      <c r="G70" s="248"/>
      <c r="H70" s="245"/>
      <c r="J70" s="239" t="str">
        <f>INDEX(PRIJEVODI!B:D,MATCH("PDV-S-018",PRIJEVODI!A:A,0),MATCH(NASLOV!$B$2,PRIJEVODI!$B$1:$D$1,0))</f>
        <v>Unterschrift     (16)</v>
      </c>
      <c r="K70" s="245"/>
      <c r="L70" s="239"/>
      <c r="M70" s="248"/>
      <c r="N70" s="245"/>
    </row>
    <row r="71" spans="2:14" x14ac:dyDescent="0.2">
      <c r="B71" s="241"/>
      <c r="C71" s="249"/>
      <c r="D71" s="249"/>
      <c r="E71" s="249"/>
      <c r="F71" s="249"/>
      <c r="G71" s="249"/>
      <c r="H71" s="250"/>
      <c r="J71" s="241"/>
      <c r="K71" s="250"/>
      <c r="L71" s="241"/>
      <c r="M71" s="249"/>
      <c r="N71" s="250"/>
    </row>
    <row r="72" spans="2:14" x14ac:dyDescent="0.2">
      <c r="B72" s="278" t="str">
        <f>INDEX(PRIJEVODI!B:D,MATCH("PDV-S-017",PRIJEVODI!A:A,0),MATCH(NASLOV!$B$2,PRIJEVODI!$B$1:$D$1,0))</f>
        <v>Berechnung verfasst von (Name und Nachname)  (15)</v>
      </c>
      <c r="C72" s="279"/>
      <c r="D72" s="280"/>
      <c r="E72" s="239" t="s">
        <v>568</v>
      </c>
      <c r="F72" s="248"/>
      <c r="G72" s="248"/>
      <c r="H72" s="245"/>
      <c r="J72" s="214" t="str">
        <f>INDEX(PRIJEVODI!B:D,MATCH("PDV-S-019",PRIJEVODI!A:A,0),MATCH(NASLOV!$B$2,PRIJEVODI!$B$1:$D$1,0))</f>
        <v>Telefonnummer / Fax /E-Mail  (17)</v>
      </c>
      <c r="K72" s="215"/>
      <c r="L72" s="301" t="s">
        <v>569</v>
      </c>
      <c r="M72" s="291"/>
      <c r="N72" s="215"/>
    </row>
    <row r="73" spans="2:14" ht="24" customHeight="1" x14ac:dyDescent="0.2">
      <c r="B73" s="281"/>
      <c r="C73" s="282"/>
      <c r="D73" s="283"/>
      <c r="E73" s="241"/>
      <c r="F73" s="249"/>
      <c r="G73" s="249"/>
      <c r="H73" s="250"/>
      <c r="J73" s="218"/>
      <c r="K73" s="219"/>
      <c r="L73" s="218"/>
      <c r="M73" s="293"/>
      <c r="N73" s="219"/>
    </row>
  </sheetData>
  <mergeCells count="104"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7" t="s">
        <v>592</v>
      </c>
      <c r="B1" s="137" t="s">
        <v>593</v>
      </c>
    </row>
    <row r="2" spans="1:2" ht="15" x14ac:dyDescent="0.25">
      <c r="A2" s="138">
        <v>44044</v>
      </c>
      <c r="B2" s="137">
        <v>7.4844850000000003</v>
      </c>
    </row>
    <row r="3" spans="1:2" ht="15" x14ac:dyDescent="0.25">
      <c r="A3" s="138">
        <v>44045</v>
      </c>
      <c r="B3" s="137">
        <v>7.4844850000000003</v>
      </c>
    </row>
    <row r="4" spans="1:2" ht="15" x14ac:dyDescent="0.25">
      <c r="A4" s="138">
        <v>44046</v>
      </c>
      <c r="B4" s="137">
        <v>7.4844850000000003</v>
      </c>
    </row>
    <row r="5" spans="1:2" ht="15" x14ac:dyDescent="0.25">
      <c r="A5" s="138">
        <v>44047</v>
      </c>
      <c r="B5" s="137">
        <v>7.4804599999999999</v>
      </c>
    </row>
    <row r="6" spans="1:2" ht="15" x14ac:dyDescent="0.25">
      <c r="A6" s="138">
        <v>44048</v>
      </c>
      <c r="B6" s="137">
        <v>7.4696179999999996</v>
      </c>
    </row>
    <row r="7" spans="1:2" ht="15" x14ac:dyDescent="0.25">
      <c r="A7" s="138">
        <v>44049</v>
      </c>
      <c r="B7" s="137">
        <v>7.4696179999999996</v>
      </c>
    </row>
    <row r="8" spans="1:2" ht="15" x14ac:dyDescent="0.25">
      <c r="A8" s="138">
        <v>44050</v>
      </c>
      <c r="B8" s="137">
        <v>7.4676099999999996</v>
      </c>
    </row>
    <row r="9" spans="1:2" ht="15" x14ac:dyDescent="0.25">
      <c r="A9" s="138">
        <v>44051</v>
      </c>
      <c r="B9" s="137">
        <v>7.4619070000000001</v>
      </c>
    </row>
    <row r="10" spans="1:2" ht="15" x14ac:dyDescent="0.25">
      <c r="A10" s="138">
        <v>44052</v>
      </c>
      <c r="B10" s="137">
        <v>7.4619070000000001</v>
      </c>
    </row>
    <row r="11" spans="1:2" ht="15" x14ac:dyDescent="0.25">
      <c r="A11" s="138">
        <v>44053</v>
      </c>
      <c r="B11" s="137">
        <v>7.4619070000000001</v>
      </c>
    </row>
    <row r="12" spans="1:2" ht="15" x14ac:dyDescent="0.25">
      <c r="A12" s="138">
        <v>44054</v>
      </c>
      <c r="B12" s="137">
        <v>7.4572430000000001</v>
      </c>
    </row>
    <row r="13" spans="1:2" ht="15" x14ac:dyDescent="0.25">
      <c r="A13" s="138">
        <v>44055</v>
      </c>
      <c r="B13" s="137">
        <v>7.4639470000000001</v>
      </c>
    </row>
    <row r="14" spans="1:2" ht="15" x14ac:dyDescent="0.25">
      <c r="A14" s="138">
        <v>44056</v>
      </c>
      <c r="B14" s="137">
        <v>7.4771850000000004</v>
      </c>
    </row>
    <row r="15" spans="1:2" ht="15" x14ac:dyDescent="0.25">
      <c r="A15" s="138">
        <v>44057</v>
      </c>
      <c r="B15" s="137">
        <v>7.4775299999999998</v>
      </c>
    </row>
    <row r="16" spans="1:2" ht="15" x14ac:dyDescent="0.25">
      <c r="A16" s="138">
        <v>44058</v>
      </c>
      <c r="B16" s="137">
        <v>7.4989460000000001</v>
      </c>
    </row>
    <row r="17" spans="1:2" ht="15" x14ac:dyDescent="0.25">
      <c r="A17" s="138">
        <v>44059</v>
      </c>
      <c r="B17" s="137">
        <v>7.4989460000000001</v>
      </c>
    </row>
    <row r="18" spans="1:2" ht="15" x14ac:dyDescent="0.25">
      <c r="A18" s="138">
        <v>44060</v>
      </c>
      <c r="B18" s="137">
        <v>7.4989460000000001</v>
      </c>
    </row>
    <row r="19" spans="1:2" ht="15" x14ac:dyDescent="0.25">
      <c r="A19" s="138">
        <v>44061</v>
      </c>
      <c r="B19" s="137">
        <v>7.5233439999999998</v>
      </c>
    </row>
    <row r="20" spans="1:2" ht="15" x14ac:dyDescent="0.25">
      <c r="A20" s="138">
        <v>44062</v>
      </c>
      <c r="B20" s="137">
        <v>7.520359</v>
      </c>
    </row>
    <row r="21" spans="1:2" ht="15" x14ac:dyDescent="0.25">
      <c r="A21" s="138">
        <v>44063</v>
      </c>
      <c r="B21" s="137">
        <v>7.5247999999999999</v>
      </c>
    </row>
    <row r="22" spans="1:2" ht="15" x14ac:dyDescent="0.25">
      <c r="A22" s="138">
        <v>44064</v>
      </c>
      <c r="B22" s="137">
        <v>7.5261110000000002</v>
      </c>
    </row>
    <row r="23" spans="1:2" ht="15" x14ac:dyDescent="0.25">
      <c r="A23" s="138">
        <v>44065</v>
      </c>
      <c r="B23" s="137">
        <v>7.5255679999999998</v>
      </c>
    </row>
    <row r="24" spans="1:2" ht="15" x14ac:dyDescent="0.25">
      <c r="A24" s="138">
        <v>44066</v>
      </c>
      <c r="B24" s="137">
        <v>7.5255679999999998</v>
      </c>
    </row>
    <row r="25" spans="1:2" ht="15" x14ac:dyDescent="0.25">
      <c r="A25" s="138">
        <v>44067</v>
      </c>
      <c r="B25" s="137">
        <v>7.5255679999999998</v>
      </c>
    </row>
    <row r="26" spans="1:2" ht="15" x14ac:dyDescent="0.25">
      <c r="A26" s="138">
        <v>44068</v>
      </c>
      <c r="B26" s="137">
        <v>7.521439</v>
      </c>
    </row>
    <row r="27" spans="1:2" ht="15" x14ac:dyDescent="0.25">
      <c r="A27" s="138">
        <v>44069</v>
      </c>
      <c r="B27" s="137">
        <v>7.5273529999999997</v>
      </c>
    </row>
    <row r="28" spans="1:2" ht="15" x14ac:dyDescent="0.25">
      <c r="A28" s="138">
        <v>44070</v>
      </c>
      <c r="B28" s="137">
        <v>7.5241870000000004</v>
      </c>
    </row>
    <row r="29" spans="1:2" ht="15" x14ac:dyDescent="0.25">
      <c r="A29" s="138">
        <v>44071</v>
      </c>
      <c r="B29" s="137">
        <v>7.5210140000000001</v>
      </c>
    </row>
    <row r="30" spans="1:2" ht="15" x14ac:dyDescent="0.25">
      <c r="A30" s="138">
        <v>44072</v>
      </c>
      <c r="B30" s="137">
        <v>7.5191929999999996</v>
      </c>
    </row>
    <row r="31" spans="1:2" ht="15" x14ac:dyDescent="0.25">
      <c r="A31" s="138">
        <v>44073</v>
      </c>
      <c r="B31" s="137">
        <v>7.5191929999999996</v>
      </c>
    </row>
    <row r="32" spans="1:2" ht="15" x14ac:dyDescent="0.25">
      <c r="A32" s="138">
        <v>44074</v>
      </c>
      <c r="B32" s="137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598</v>
      </c>
    </row>
    <row r="3" spans="1:6" x14ac:dyDescent="0.2">
      <c r="B3" t="s">
        <v>599</v>
      </c>
      <c r="C3" t="s">
        <v>600</v>
      </c>
      <c r="D3" t="s">
        <v>601</v>
      </c>
      <c r="E3" t="s">
        <v>581</v>
      </c>
      <c r="F3" t="s">
        <v>597</v>
      </c>
    </row>
    <row r="4" spans="1:6" x14ac:dyDescent="0.2">
      <c r="B4" s="143"/>
    </row>
    <row r="5" spans="1:6" x14ac:dyDescent="0.2">
      <c r="B5" s="143"/>
    </row>
    <row r="6" spans="1:6" x14ac:dyDescent="0.2">
      <c r="B6" s="143"/>
    </row>
    <row r="7" spans="1:6" x14ac:dyDescent="0.2">
      <c r="B7" s="143"/>
    </row>
    <row r="8" spans="1:6" x14ac:dyDescent="0.2">
      <c r="B8" s="143"/>
    </row>
    <row r="9" spans="1:6" x14ac:dyDescent="0.2">
      <c r="B9" s="143"/>
    </row>
    <row r="10" spans="1:6" x14ac:dyDescent="0.2">
      <c r="A10" s="142"/>
      <c r="B10" s="143"/>
      <c r="C10" s="124"/>
      <c r="D10" s="124"/>
    </row>
    <row r="11" spans="1:6" x14ac:dyDescent="0.2">
      <c r="B11" s="143"/>
      <c r="C11" s="132"/>
      <c r="D11" s="1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361"/>
  <sheetViews>
    <sheetView topLeftCell="A19" zoomScale="85" zoomScaleNormal="85" zoomScaleSheetLayoutView="86" workbookViewId="0">
      <selection activeCell="A35" sqref="A35:XFD35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26" t="str">
        <f>NASLOV!B5</f>
        <v>Markus Renz</v>
      </c>
      <c r="B1" s="226"/>
      <c r="C1" s="226"/>
      <c r="D1" s="226"/>
      <c r="E1" s="226"/>
      <c r="F1" s="226"/>
      <c r="X1" s="88"/>
    </row>
    <row r="2" spans="1:24" x14ac:dyDescent="0.2">
      <c r="A2" s="226"/>
      <c r="B2" s="226"/>
      <c r="C2" s="226"/>
      <c r="D2" s="226"/>
      <c r="E2" s="226"/>
      <c r="F2" s="226"/>
      <c r="U2" s="224"/>
      <c r="V2" s="224"/>
      <c r="W2" s="23"/>
      <c r="X2" s="88"/>
    </row>
    <row r="3" spans="1:24" x14ac:dyDescent="0.2">
      <c r="C3" s="224" t="str">
        <f>INDEX(PRIJEVODI!B:D,MATCH("IRA-001",PRIJEVODI!A:A,0),MATCH(NASLOV!$B$2,PRIJEVODI!$B$1:$D$1,0))</f>
        <v>STEUERPFLICHTIGER: TITEL /NAME UND NACHNAME</v>
      </c>
      <c r="D3" s="224"/>
      <c r="E3" s="224"/>
      <c r="F3" s="224"/>
      <c r="X3" s="88"/>
    </row>
    <row r="4" spans="1:24" x14ac:dyDescent="0.2">
      <c r="C4" s="225" t="str">
        <f>NASLOV!B7</f>
        <v>Am Sonnblick 6, Lichtenau</v>
      </c>
      <c r="D4" s="225"/>
      <c r="E4" s="225"/>
      <c r="F4" s="225"/>
      <c r="X4" s="88"/>
    </row>
    <row r="5" spans="1:24" x14ac:dyDescent="0.2">
      <c r="C5" s="225"/>
      <c r="D5" s="225"/>
      <c r="E5" s="225"/>
      <c r="F5" s="225"/>
      <c r="X5" s="88"/>
    </row>
    <row r="6" spans="1:24" x14ac:dyDescent="0.2">
      <c r="C6" s="224" t="str">
        <f>INDEX(PRIJEVODI!B:D,MATCH("IRA-002",PRIJEVODI!A:A,0),MATCH(NASLOV!$B$2,PRIJEVODI!$B$1:$D$1,0))</f>
        <v>ADRESSE: ORT, STRASSE UND HAUSNUMMER</v>
      </c>
      <c r="D6" s="224"/>
      <c r="E6" s="224"/>
      <c r="F6" s="224"/>
      <c r="X6" s="88"/>
    </row>
    <row r="7" spans="1:24" x14ac:dyDescent="0.2">
      <c r="C7" s="227"/>
      <c r="D7" s="227"/>
      <c r="E7" s="227"/>
      <c r="F7" s="227"/>
      <c r="X7" s="88"/>
    </row>
    <row r="8" spans="1:24" x14ac:dyDescent="0.2">
      <c r="C8" s="227"/>
      <c r="D8" s="227"/>
      <c r="E8" s="227"/>
      <c r="F8" s="227"/>
      <c r="X8" s="88"/>
    </row>
    <row r="9" spans="1:24" x14ac:dyDescent="0.2">
      <c r="C9" s="224" t="str">
        <f>INDEX(PRIJEVODI!B:D,MATCH("IRA-003",PRIJEVODI!A:A,0),MATCH(NASLOV!$B$2,PRIJEVODI!$B$1:$D$1,0))</f>
        <v>NUMMERIERUNG GEMÄSS DEM NATIONALEN KLASSIFIZIERUNGSSYSTEM</v>
      </c>
      <c r="D9" s="224"/>
      <c r="E9" s="224"/>
      <c r="F9" s="224"/>
      <c r="X9" s="88"/>
    </row>
    <row r="10" spans="1:24" x14ac:dyDescent="0.2">
      <c r="C10" s="224"/>
      <c r="D10" s="224"/>
      <c r="E10" s="224"/>
      <c r="F10" s="224"/>
      <c r="X10" s="88"/>
    </row>
    <row r="11" spans="1:24" x14ac:dyDescent="0.2">
      <c r="C11" s="225" t="str">
        <f>NASLOV!B9</f>
        <v>HR6411581446</v>
      </c>
      <c r="D11" s="225"/>
      <c r="E11" s="225"/>
      <c r="F11" s="225"/>
      <c r="X11" s="88"/>
    </row>
    <row r="12" spans="1:24" x14ac:dyDescent="0.2">
      <c r="C12" s="225"/>
      <c r="D12" s="225"/>
      <c r="E12" s="225"/>
      <c r="F12" s="225"/>
      <c r="X12" s="88"/>
    </row>
    <row r="13" spans="1:24" x14ac:dyDescent="0.2">
      <c r="C13" s="224" t="str">
        <f>INDEX(PRIJEVODI!B:D,MATCH("IRA-004",PRIJEVODI!A:A,0),MATCH(NASLOV!$B$2,PRIJEVODI!$B$1:$D$1,0))</f>
        <v>STEUERNUMMER (UID)</v>
      </c>
      <c r="D13" s="224"/>
      <c r="E13" s="224"/>
      <c r="F13" s="224"/>
      <c r="X13" s="88"/>
    </row>
    <row r="14" spans="1:24" x14ac:dyDescent="0.2">
      <c r="X14" s="88"/>
    </row>
    <row r="15" spans="1:24" x14ac:dyDescent="0.2">
      <c r="G15" s="228" t="str">
        <f>INDEX(PRIJEVODI!B:D,MATCH("IRA-005",PRIJEVODI!A:A,0),MATCH(NASLOV!$B$2,PRIJEVODI!$B$1:$D$1,0))</f>
        <v>AUSGANGSRECHNUNGSBUCH</v>
      </c>
      <c r="H15" s="229"/>
      <c r="I15" s="229"/>
      <c r="J15" s="229"/>
      <c r="K15" s="229"/>
      <c r="M15" s="223" t="s">
        <v>591</v>
      </c>
      <c r="N15" s="223"/>
      <c r="O15" s="223"/>
      <c r="P15" s="242"/>
      <c r="Q15" s="242"/>
      <c r="R15" s="242"/>
      <c r="X15" s="88"/>
    </row>
    <row r="16" spans="1:24" x14ac:dyDescent="0.2">
      <c r="G16" s="229"/>
      <c r="H16" s="229"/>
      <c r="I16" s="229"/>
      <c r="J16" s="229"/>
      <c r="K16" s="229"/>
      <c r="M16" s="223"/>
      <c r="N16" s="223"/>
      <c r="O16" s="223"/>
      <c r="P16" s="242"/>
      <c r="Q16" s="242"/>
      <c r="R16" s="242"/>
      <c r="X16" s="88"/>
    </row>
    <row r="17" spans="2:24" x14ac:dyDescent="0.2">
      <c r="T17" s="229" t="str">
        <f>INDEX(PRIJEVODI!B:D,MATCH("IRA-006",PRIJEVODI!A:A,0),MATCH(NASLOV!$B$2,PRIJEVODI!$B$1:$D$1,0))</f>
        <v>BETRAG IN KUNA UND LIPA</v>
      </c>
      <c r="U17" s="229"/>
      <c r="V17" s="229"/>
      <c r="W17" s="229"/>
      <c r="X17" s="88"/>
    </row>
    <row r="18" spans="2:24" x14ac:dyDescent="0.2">
      <c r="X18" s="89"/>
    </row>
    <row r="19" spans="2:24" x14ac:dyDescent="0.2">
      <c r="B19" s="198" t="str">
        <f>INDEX(PRIJEVODI!B:D,MATCH("IRA-007",PRIJEVODI!A:A,0),MATCH(NASLOV!$B$2,PRIJEVODI!$B$1:$D$1,0))</f>
        <v xml:space="preserve">ORDNUNGSNUMMER </v>
      </c>
      <c r="C19" s="201" t="str">
        <f>INDEX(PRIJEVODI!B:D,MATCH("IRA-008",PRIJEVODI!A:A,0),MATCH(NASLOV!$B$2,PRIJEVODI!$B$1:$D$1,0))</f>
        <v>RECHNUNG</v>
      </c>
      <c r="D19" s="202"/>
      <c r="E19" s="205" t="str">
        <f>INDEX(PRIJEVODI!B:D,MATCH("IRA-011",PRIJEVODI!A:A,0),MATCH(NASLOV!$B$2,PRIJEVODI!$B$1:$D$1,0))</f>
        <v>KUNDE (EMPFÄNGER VON GÜTERN ODER DIENSTLEISTUNGEN)</v>
      </c>
      <c r="F19" s="206"/>
      <c r="G19" s="207"/>
      <c r="H19" s="192" t="str">
        <f>INDEX(PRIJEVODI!B:D,MATCH("IRA-014",PRIJEVODI!A:A,0),MATCH(NASLOV!$B$2,PRIJEVODI!$B$1:$D$1,0))</f>
        <v>BETRAG (inklusive Mehrwertsteuern)</v>
      </c>
      <c r="I19" s="201" t="str">
        <f>INDEX(PRIJEVODI!B:D,MATCH("IRA-015",PRIJEVODI!A:A,0),MATCH(NASLOV!$B$2,PRIJEVODI!$B$1:$D$1,0))</f>
        <v xml:space="preserve">STEUER- UND MEHRWERTSTERERFREIE ERTRÄGE </v>
      </c>
      <c r="J19" s="232"/>
      <c r="K19" s="232"/>
      <c r="L19" s="232"/>
      <c r="M19" s="232"/>
      <c r="N19" s="232"/>
      <c r="O19" s="232"/>
      <c r="P19" s="232"/>
      <c r="Q19" s="232"/>
      <c r="R19" s="238"/>
      <c r="S19" s="201" t="str">
        <f>INDEX(PRIJEVODI!B:D,MATCH("IRA-026",PRIJEVODI!A:A,0),MATCH(NASLOV!$B$2,PRIJEVODI!$B$1:$D$1,0))</f>
        <v xml:space="preserve">STEUERPFLICHTIG </v>
      </c>
      <c r="T19" s="232"/>
      <c r="U19" s="232"/>
      <c r="V19" s="232"/>
      <c r="W19" s="232"/>
      <c r="X19" s="233"/>
    </row>
    <row r="20" spans="2:24" ht="12.75" customHeight="1" x14ac:dyDescent="0.2">
      <c r="B20" s="199"/>
      <c r="C20" s="203"/>
      <c r="D20" s="204"/>
      <c r="E20" s="208"/>
      <c r="F20" s="209"/>
      <c r="G20" s="210"/>
      <c r="H20" s="193"/>
      <c r="I20" s="234"/>
      <c r="J20" s="235"/>
      <c r="K20" s="235"/>
      <c r="L20" s="235"/>
      <c r="M20" s="235"/>
      <c r="N20" s="235"/>
      <c r="O20" s="235"/>
      <c r="P20" s="235"/>
      <c r="Q20" s="235"/>
      <c r="R20" s="236"/>
      <c r="S20" s="234"/>
      <c r="T20" s="235"/>
      <c r="U20" s="235"/>
      <c r="V20" s="235"/>
      <c r="W20" s="235"/>
      <c r="X20" s="236"/>
    </row>
    <row r="21" spans="2:24" ht="12.75" customHeight="1" x14ac:dyDescent="0.2">
      <c r="B21" s="199"/>
      <c r="C21" s="211" t="str">
        <f>INDEX(PRIJEVODI!B:D,MATCH("IRA-009",PRIJEVODI!A:A,0),MATCH(NASLOV!$B$2,PRIJEVODI!$B$1:$D$1,0))</f>
        <v xml:space="preserve">NUMMER </v>
      </c>
      <c r="D21" s="211" t="str">
        <f>INDEX(PRIJEVODI!B:D,MATCH("IRA-010",PRIJEVODI!A:A,0),MATCH(NASLOV!$B$2,PRIJEVODI!$B$1:$D$1,0))</f>
        <v>DATUM</v>
      </c>
      <c r="E21" s="214" t="str">
        <f>INDEX(PRIJEVODI!B:D,MATCH("IRA-012",PRIJEVODI!A:A,0),MATCH(NASLOV!$B$2,PRIJEVODI!$B$1:$D$1,0))</f>
        <v>TITEL - NAME UND NACHNAME UND GESCHÄFTSSITZ / SITZORT</v>
      </c>
      <c r="F21" s="215"/>
      <c r="G21" s="220" t="str">
        <f>INDEX(PRIJEVODI!B:D,MATCH("IRA-013",PRIJEVODI!A:A,0),MATCH(NASLOV!$B$2,PRIJEVODI!$B$1:$D$1,0))</f>
        <v>STEUERNUMMER (UID)</v>
      </c>
      <c r="H21" s="193"/>
      <c r="I21" s="195" t="str">
        <f>INDEX(PRIJEVODI!B:D,MATCH("IRA-016",PRIJEVODI!A:A,0),MATCH(NASLOV!$B$2,PRIJEVODI!$B$1:$D$1,0))</f>
        <v>INLAND ÜBERTRAGUNG DER STEUERPFLICHT</v>
      </c>
      <c r="J21" s="195" t="str">
        <f>INDEX(PRIJEVODI!B:D,MATCH("IRA-017",PRIJEVODI!A:A,0),MATCH(NASLOV!$B$2,PRIJEVODI!$B$1:$D$1,0))</f>
        <v>LIEFERUNG VON GÜTERN IN ANDERE EU MITGLIEDSTAATEN</v>
      </c>
      <c r="K21" s="195" t="str">
        <f>INDEX(PRIJEVODI!B:D,MATCH("IRA-018",PRIJEVODI!A:A,0),MATCH(NASLOV!$B$2,PRIJEVODI!$B$1:$D$1,0))</f>
        <v>LIEFERUNG VON GÜTERN INNERHALB DER EU</v>
      </c>
      <c r="L21" s="195" t="str">
        <f>INDEX(PRIJEVODI!B:D,MATCH("IRA-019",PRIJEVODI!A:A,0),MATCH(NASLOV!$B$2,PRIJEVODI!$B$1:$D$1,0))</f>
        <v>ERBRACHTE DIENSTLEISTUNGEN INNERHALB DER EU</v>
      </c>
      <c r="M21" s="195" t="str">
        <f>INDEX(PRIJEVODI!B:D,MATCH("IRA-020",PRIJEVODI!A:A,0),MATCH(NASLOV!$B$2,PRIJEVODI!$B$1:$D$1,0))</f>
        <v xml:space="preserve">ERBRACHTE DIENSTLEISTUNGEN AN PERSONEN OHNE SITZ IN KROATIEN   </v>
      </c>
      <c r="N21" s="195" t="str">
        <f>INDEX(PRIJEVODI!B:D,MATCH("IRA-021",PRIJEVODI!A:A,0),MATCH(NASLOV!$B$2,PRIJEVODI!$B$1:$D$1,0))</f>
        <v>MONTAGE UND INSTALLATION VON GÜTERN IN EINEM ANDEREN EU MITGLIEDSTAAT</v>
      </c>
      <c r="O21" s="195" t="str">
        <f>INDEX(PRIJEVODI!B:D,MATCH("IRA-022",PRIJEVODI!A:A,0),MATCH(NASLOV!$B$2,PRIJEVODI!$B$1:$D$1,0))</f>
        <v>LIEFERUNG NEUER TRANSPORTMITTEL (NTM) IN DIE EU</v>
      </c>
      <c r="P21" s="195" t="str">
        <f>INDEX(PRIJEVODI!B:D,MATCH("IRA-023",PRIJEVODI!A:A,0),MATCH(NASLOV!$B$2,PRIJEVODI!$B$1:$D$1,0))</f>
        <v>IM INLAND</v>
      </c>
      <c r="Q21" s="195" t="str">
        <f>INDEX(PRIJEVODI!B:D,MATCH("IRA-024",PRIJEVODI!A:A,0),MATCH(NASLOV!$B$2,PRIJEVODI!$B$1:$D$1,0))</f>
        <v>EXPORTLIEFERUNG</v>
      </c>
      <c r="R21" s="195" t="str">
        <f>INDEX(PRIJEVODI!B:D,MATCH("IRA-025",PRIJEVODI!A:A,0),MATCH(NASLOV!$B$2,PRIJEVODI!$B$1:$D$1,0))</f>
        <v>SONSTIGE STEUERBEFREIUNGEN</v>
      </c>
      <c r="S21" s="237">
        <v>0.05</v>
      </c>
      <c r="T21" s="238"/>
      <c r="U21" s="237">
        <v>0.13</v>
      </c>
      <c r="V21" s="238"/>
      <c r="W21" s="237">
        <v>0.25</v>
      </c>
      <c r="X21" s="238"/>
    </row>
    <row r="22" spans="2:24" x14ac:dyDescent="0.2">
      <c r="B22" s="199"/>
      <c r="C22" s="212"/>
      <c r="D22" s="212"/>
      <c r="E22" s="216"/>
      <c r="F22" s="217"/>
      <c r="G22" s="221"/>
      <c r="H22" s="193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234"/>
      <c r="T22" s="236"/>
      <c r="U22" s="234"/>
      <c r="V22" s="236"/>
      <c r="W22" s="234"/>
      <c r="X22" s="236"/>
    </row>
    <row r="23" spans="2:24" x14ac:dyDescent="0.2">
      <c r="B23" s="199"/>
      <c r="C23" s="212"/>
      <c r="D23" s="212"/>
      <c r="E23" s="216"/>
      <c r="F23" s="217"/>
      <c r="G23" s="221"/>
      <c r="H23" s="193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211" t="str">
        <f>INDEX(PRIJEVODI!B:D,MATCH("IRA-028",PRIJEVODI!A:A,0),MATCH(NASLOV!$B$2,PRIJEVODI!$B$1:$D$1,0))</f>
        <v>LIEFERWERT</v>
      </c>
      <c r="T23" s="211" t="str">
        <f>INDEX(PRIJEVODI!B:D,MATCH("IRA-029",PRIJEVODI!A:A,0),MATCH(NASLOV!$B$2,PRIJEVODI!$B$1:$D$1,0))</f>
        <v>STEUER</v>
      </c>
      <c r="U23" s="211" t="str">
        <f>INDEX(PRIJEVODI!B:D,MATCH("IRA-031",PRIJEVODI!A:A,0),MATCH(NASLOV!$B$2,PRIJEVODI!$B$1:$D$1,0))</f>
        <v>LIEFERWERT</v>
      </c>
      <c r="V23" s="211" t="str">
        <f>INDEX(PRIJEVODI!B:D,MATCH("IRA-032",PRIJEVODI!A:A,0),MATCH(NASLOV!$B$2,PRIJEVODI!$B$1:$D$1,0))</f>
        <v>STEUER</v>
      </c>
      <c r="W23" s="239" t="str">
        <f>INDEX(PRIJEVODI!B:D,MATCH("IRA-034",PRIJEVODI!A:A,0),MATCH(NASLOV!$B$2,PRIJEVODI!$B$1:$D$1,0))</f>
        <v>LIEFERWERT</v>
      </c>
      <c r="X23" s="211" t="str">
        <f>INDEX(PRIJEVODI!B:D,MATCH("IRA-035",PRIJEVODI!A:A,0),MATCH(NASLOV!$B$2,PRIJEVODI!$B$1:$D$1,0))</f>
        <v>STEUER</v>
      </c>
    </row>
    <row r="24" spans="2:24" x14ac:dyDescent="0.2">
      <c r="B24" s="199"/>
      <c r="C24" s="212"/>
      <c r="D24" s="212"/>
      <c r="E24" s="216"/>
      <c r="F24" s="217"/>
      <c r="G24" s="221"/>
      <c r="H24" s="193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212"/>
      <c r="T24" s="212"/>
      <c r="U24" s="212"/>
      <c r="V24" s="212"/>
      <c r="W24" s="240"/>
      <c r="X24" s="212"/>
    </row>
    <row r="25" spans="2:24" x14ac:dyDescent="0.2">
      <c r="B25" s="199"/>
      <c r="C25" s="212"/>
      <c r="D25" s="212"/>
      <c r="E25" s="216"/>
      <c r="F25" s="217"/>
      <c r="G25" s="221"/>
      <c r="H25" s="193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212"/>
      <c r="T25" s="212"/>
      <c r="U25" s="212"/>
      <c r="V25" s="212"/>
      <c r="W25" s="240"/>
      <c r="X25" s="212"/>
    </row>
    <row r="26" spans="2:24" x14ac:dyDescent="0.2">
      <c r="B26" s="199"/>
      <c r="C26" s="212"/>
      <c r="D26" s="212"/>
      <c r="E26" s="216"/>
      <c r="F26" s="217"/>
      <c r="G26" s="221"/>
      <c r="H26" s="193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212"/>
      <c r="T26" s="212"/>
      <c r="U26" s="212"/>
      <c r="V26" s="212"/>
      <c r="W26" s="240"/>
      <c r="X26" s="212"/>
    </row>
    <row r="27" spans="2:24" ht="17.25" customHeight="1" x14ac:dyDescent="0.2">
      <c r="B27" s="200"/>
      <c r="C27" s="213"/>
      <c r="D27" s="213"/>
      <c r="E27" s="218"/>
      <c r="F27" s="219"/>
      <c r="G27" s="222"/>
      <c r="H27" s="194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213"/>
      <c r="T27" s="213"/>
      <c r="U27" s="213"/>
      <c r="V27" s="213"/>
      <c r="W27" s="241"/>
      <c r="X27" s="213"/>
    </row>
    <row r="28" spans="2:24" x14ac:dyDescent="0.2">
      <c r="B28" s="3">
        <v>1</v>
      </c>
      <c r="C28" s="3">
        <v>2</v>
      </c>
      <c r="D28" s="3">
        <v>3</v>
      </c>
      <c r="E28" s="230">
        <v>4</v>
      </c>
      <c r="F28" s="231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6">
        <v>21</v>
      </c>
      <c r="X28" s="3">
        <v>22</v>
      </c>
    </row>
    <row r="29" spans="2:24" x14ac:dyDescent="0.2">
      <c r="B29" s="90"/>
      <c r="C29" s="109"/>
      <c r="D29" s="112"/>
      <c r="E29" s="103"/>
      <c r="F29" s="103"/>
      <c r="G29" s="103"/>
      <c r="H29" s="42"/>
      <c r="I29" s="105"/>
      <c r="J29" s="10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4">
        <f t="shared" ref="U29" si="0">+V29/0.13</f>
        <v>0</v>
      </c>
      <c r="V29" s="93"/>
      <c r="W29" s="42"/>
      <c r="X29" s="42"/>
    </row>
    <row r="30" spans="2:24" x14ac:dyDescent="0.2">
      <c r="B30" s="90">
        <v>62</v>
      </c>
      <c r="C30" s="110" t="s">
        <v>643</v>
      </c>
      <c r="D30" s="112">
        <v>45140</v>
      </c>
      <c r="E30" s="99" t="s">
        <v>644</v>
      </c>
      <c r="F30" s="103" t="s">
        <v>607</v>
      </c>
      <c r="G30" s="107"/>
      <c r="H30" s="42">
        <f>U30+V30</f>
        <v>1122.8940384615385</v>
      </c>
      <c r="I30" s="113"/>
      <c r="J30" s="113"/>
      <c r="K30" s="114"/>
      <c r="L30" s="105"/>
      <c r="M30" s="105"/>
      <c r="N30" s="105"/>
      <c r="O30" s="105"/>
      <c r="P30" s="105"/>
      <c r="Q30" s="105"/>
      <c r="R30" s="105"/>
      <c r="S30" s="105"/>
      <c r="T30" s="105"/>
      <c r="U30" s="104">
        <f>+V30/0.13</f>
        <v>993.71153846153845</v>
      </c>
      <c r="V30" s="93">
        <v>129.1825</v>
      </c>
      <c r="W30" s="115"/>
      <c r="X30" s="115"/>
    </row>
    <row r="31" spans="2:24" x14ac:dyDescent="0.2">
      <c r="B31" s="108">
        <v>63</v>
      </c>
      <c r="C31" s="110" t="s">
        <v>645</v>
      </c>
      <c r="D31" s="111">
        <v>45140</v>
      </c>
      <c r="E31" s="99" t="s">
        <v>617</v>
      </c>
      <c r="F31" s="103" t="s">
        <v>613</v>
      </c>
      <c r="G31" s="99"/>
      <c r="H31" s="42">
        <f t="shared" ref="H31:H50" si="1">U31+V31</f>
        <v>-90.147923076923078</v>
      </c>
      <c r="I31" s="113"/>
      <c r="J31" s="113"/>
      <c r="K31" s="114"/>
      <c r="L31" s="105"/>
      <c r="M31" s="105"/>
      <c r="N31" s="105"/>
      <c r="O31" s="105"/>
      <c r="P31" s="105"/>
      <c r="Q31" s="105"/>
      <c r="R31" s="105"/>
      <c r="S31" s="105"/>
      <c r="T31" s="105"/>
      <c r="U31" s="104">
        <f t="shared" ref="U31:U60" si="2">+V31/0.13</f>
        <v>-79.776923076923083</v>
      </c>
      <c r="V31" s="93">
        <v>-10.371</v>
      </c>
      <c r="W31" s="115"/>
      <c r="X31" s="115"/>
    </row>
    <row r="32" spans="2:24" x14ac:dyDescent="0.2">
      <c r="B32" s="90">
        <v>64</v>
      </c>
      <c r="C32" s="110" t="s">
        <v>646</v>
      </c>
      <c r="D32" s="111">
        <v>45145</v>
      </c>
      <c r="E32" s="99" t="s">
        <v>615</v>
      </c>
      <c r="F32" s="103" t="s">
        <v>607</v>
      </c>
      <c r="G32" s="99"/>
      <c r="H32" s="42">
        <v>18</v>
      </c>
      <c r="I32" s="113"/>
      <c r="J32" s="113"/>
      <c r="K32" s="114"/>
      <c r="L32" s="105"/>
      <c r="M32" s="105"/>
      <c r="N32" s="105"/>
      <c r="O32" s="105"/>
      <c r="P32" s="105"/>
      <c r="Q32" s="105"/>
      <c r="R32" s="105"/>
      <c r="S32" s="105"/>
      <c r="T32" s="105"/>
      <c r="U32" s="104">
        <f t="shared" si="2"/>
        <v>0</v>
      </c>
      <c r="V32" s="93">
        <v>0</v>
      </c>
      <c r="W32" s="115"/>
      <c r="X32" s="115"/>
    </row>
    <row r="33" spans="2:24" x14ac:dyDescent="0.2">
      <c r="B33" s="108">
        <v>65</v>
      </c>
      <c r="C33" s="134" t="s">
        <v>647</v>
      </c>
      <c r="D33" s="111">
        <v>45145</v>
      </c>
      <c r="E33" s="99" t="s">
        <v>648</v>
      </c>
      <c r="F33" s="103" t="s">
        <v>607</v>
      </c>
      <c r="G33" s="136"/>
      <c r="H33" s="42">
        <v>36.75</v>
      </c>
      <c r="I33" s="113"/>
      <c r="J33" s="113"/>
      <c r="K33" s="114"/>
      <c r="L33" s="105"/>
      <c r="M33" s="105"/>
      <c r="N33" s="105"/>
      <c r="O33" s="105"/>
      <c r="P33" s="105"/>
      <c r="Q33" s="105"/>
      <c r="R33" s="105"/>
      <c r="S33" s="105"/>
      <c r="T33" s="105"/>
      <c r="U33" s="104">
        <f t="shared" si="2"/>
        <v>0</v>
      </c>
      <c r="V33" s="93">
        <v>0</v>
      </c>
      <c r="W33" s="115"/>
      <c r="X33" s="115"/>
    </row>
    <row r="34" spans="2:24" x14ac:dyDescent="0.2">
      <c r="B34" s="90">
        <v>66</v>
      </c>
      <c r="C34" s="134" t="s">
        <v>649</v>
      </c>
      <c r="D34" s="111">
        <v>45145</v>
      </c>
      <c r="E34" s="99" t="s">
        <v>650</v>
      </c>
      <c r="F34" s="103" t="s">
        <v>607</v>
      </c>
      <c r="G34" s="136"/>
      <c r="H34" s="42">
        <v>24</v>
      </c>
      <c r="I34" s="113"/>
      <c r="J34" s="113"/>
      <c r="K34" s="114"/>
      <c r="L34" s="105"/>
      <c r="M34" s="105"/>
      <c r="N34" s="105"/>
      <c r="O34" s="105"/>
      <c r="P34" s="105"/>
      <c r="Q34" s="105"/>
      <c r="R34" s="105"/>
      <c r="S34" s="105"/>
      <c r="T34" s="105"/>
      <c r="U34" s="104">
        <f t="shared" si="2"/>
        <v>0</v>
      </c>
      <c r="V34" s="93">
        <v>0</v>
      </c>
      <c r="W34" s="115"/>
      <c r="X34" s="115"/>
    </row>
    <row r="35" spans="2:24" x14ac:dyDescent="0.2">
      <c r="B35" s="108">
        <v>67</v>
      </c>
      <c r="C35" s="134" t="s">
        <v>651</v>
      </c>
      <c r="D35" s="111">
        <v>45147</v>
      </c>
      <c r="E35" s="99" t="s">
        <v>652</v>
      </c>
      <c r="F35" s="103" t="s">
        <v>613</v>
      </c>
      <c r="G35" s="136"/>
      <c r="H35" s="42">
        <f t="shared" si="1"/>
        <v>274.5726153846154</v>
      </c>
      <c r="I35" s="113"/>
      <c r="J35" s="113"/>
      <c r="K35" s="114"/>
      <c r="L35" s="105"/>
      <c r="M35" s="105"/>
      <c r="N35" s="105"/>
      <c r="O35" s="105"/>
      <c r="P35" s="105"/>
      <c r="Q35" s="105"/>
      <c r="R35" s="105"/>
      <c r="S35" s="105"/>
      <c r="T35" s="105"/>
      <c r="U35" s="104">
        <f>+V35/0.13</f>
        <v>242.98461538461538</v>
      </c>
      <c r="V35" s="93">
        <v>31.588000000000001</v>
      </c>
      <c r="W35" s="115"/>
      <c r="X35" s="115"/>
    </row>
    <row r="36" spans="2:24" x14ac:dyDescent="0.2">
      <c r="B36" s="90">
        <v>68</v>
      </c>
      <c r="C36" s="134" t="s">
        <v>653</v>
      </c>
      <c r="D36" s="111">
        <v>45147</v>
      </c>
      <c r="E36" s="99" t="s">
        <v>654</v>
      </c>
      <c r="F36" s="103" t="s">
        <v>607</v>
      </c>
      <c r="G36" s="136"/>
      <c r="H36" s="42">
        <f t="shared" si="1"/>
        <v>1875.3306153846154</v>
      </c>
      <c r="I36" s="113"/>
      <c r="J36" s="113"/>
      <c r="K36" s="114"/>
      <c r="L36" s="105"/>
      <c r="M36" s="105"/>
      <c r="N36" s="105"/>
      <c r="O36" s="105"/>
      <c r="P36" s="105"/>
      <c r="Q36" s="105"/>
      <c r="R36" s="105"/>
      <c r="S36" s="105"/>
      <c r="T36" s="105"/>
      <c r="U36" s="104">
        <f>+V36/0.13</f>
        <v>1659.5846153846153</v>
      </c>
      <c r="V36" s="93">
        <v>215.74600000000001</v>
      </c>
      <c r="W36" s="115"/>
      <c r="X36" s="115"/>
    </row>
    <row r="37" spans="2:24" ht="12.75" customHeight="1" x14ac:dyDescent="0.2">
      <c r="B37" s="108">
        <v>69</v>
      </c>
      <c r="C37" s="134" t="s">
        <v>655</v>
      </c>
      <c r="D37" s="111">
        <v>45147</v>
      </c>
      <c r="E37" s="99" t="s">
        <v>656</v>
      </c>
      <c r="F37" s="103" t="s">
        <v>613</v>
      </c>
      <c r="G37" s="136"/>
      <c r="H37" s="42">
        <v>24</v>
      </c>
      <c r="I37" s="113"/>
      <c r="J37" s="113"/>
      <c r="K37" s="114"/>
      <c r="L37" s="105"/>
      <c r="M37" s="105"/>
      <c r="N37" s="105"/>
      <c r="O37" s="105"/>
      <c r="P37" s="105"/>
      <c r="Q37" s="105"/>
      <c r="R37" s="105"/>
      <c r="S37" s="105"/>
      <c r="T37" s="105"/>
      <c r="U37" s="104"/>
      <c r="V37" s="93"/>
      <c r="W37" s="115"/>
      <c r="X37" s="115"/>
    </row>
    <row r="38" spans="2:24" x14ac:dyDescent="0.2">
      <c r="B38" s="90">
        <v>70</v>
      </c>
      <c r="C38" s="134" t="s">
        <v>657</v>
      </c>
      <c r="D38" s="111">
        <v>45147</v>
      </c>
      <c r="E38" s="99" t="s">
        <v>658</v>
      </c>
      <c r="F38" s="103" t="s">
        <v>613</v>
      </c>
      <c r="G38" s="136"/>
      <c r="H38" s="42">
        <v>24</v>
      </c>
      <c r="I38" s="113"/>
      <c r="J38" s="113"/>
      <c r="K38" s="114"/>
      <c r="L38" s="105"/>
      <c r="M38" s="105"/>
      <c r="N38" s="105"/>
      <c r="O38" s="105"/>
      <c r="P38" s="105"/>
      <c r="Q38" s="105"/>
      <c r="R38" s="105"/>
      <c r="S38" s="105"/>
      <c r="T38" s="105"/>
      <c r="U38" s="104"/>
      <c r="V38" s="93"/>
      <c r="W38" s="115"/>
      <c r="X38" s="115"/>
    </row>
    <row r="39" spans="2:24" x14ac:dyDescent="0.2">
      <c r="B39" s="108">
        <v>71</v>
      </c>
      <c r="C39" s="134" t="s">
        <v>659</v>
      </c>
      <c r="D39" s="111">
        <v>45151</v>
      </c>
      <c r="E39" s="99" t="s">
        <v>660</v>
      </c>
      <c r="F39" s="103" t="s">
        <v>613</v>
      </c>
      <c r="G39" s="136"/>
      <c r="H39" s="42">
        <v>15</v>
      </c>
      <c r="I39" s="113"/>
      <c r="J39" s="113"/>
      <c r="K39" s="114"/>
      <c r="L39" s="105"/>
      <c r="M39" s="105"/>
      <c r="N39" s="105"/>
      <c r="O39" s="105"/>
      <c r="P39" s="105"/>
      <c r="Q39" s="105"/>
      <c r="R39" s="105"/>
      <c r="S39" s="105"/>
      <c r="T39" s="105"/>
      <c r="U39" s="104"/>
      <c r="V39" s="93"/>
      <c r="W39" s="115"/>
      <c r="X39" s="115"/>
    </row>
    <row r="40" spans="2:24" x14ac:dyDescent="0.2">
      <c r="B40" s="90">
        <v>72</v>
      </c>
      <c r="C40" s="134" t="s">
        <v>661</v>
      </c>
      <c r="D40" s="111">
        <v>45151</v>
      </c>
      <c r="E40" s="99" t="s">
        <v>662</v>
      </c>
      <c r="F40" s="103" t="s">
        <v>616</v>
      </c>
      <c r="G40" s="136"/>
      <c r="H40" s="42">
        <v>27</v>
      </c>
      <c r="I40" s="113"/>
      <c r="J40" s="113"/>
      <c r="K40" s="114"/>
      <c r="L40" s="105"/>
      <c r="M40" s="105"/>
      <c r="N40" s="105"/>
      <c r="O40" s="105"/>
      <c r="P40" s="105"/>
      <c r="Q40" s="105"/>
      <c r="R40" s="105"/>
      <c r="S40" s="105"/>
      <c r="T40" s="105"/>
      <c r="U40" s="104">
        <f t="shared" si="2"/>
        <v>110.7076923076923</v>
      </c>
      <c r="V40" s="93">
        <v>14.391999999999999</v>
      </c>
      <c r="W40" s="115"/>
      <c r="X40" s="115"/>
    </row>
    <row r="41" spans="2:24" x14ac:dyDescent="0.2">
      <c r="B41" s="108">
        <v>73</v>
      </c>
      <c r="C41" s="134" t="s">
        <v>663</v>
      </c>
      <c r="D41" s="111">
        <v>45151</v>
      </c>
      <c r="E41" s="99" t="s">
        <v>664</v>
      </c>
      <c r="F41" s="107" t="s">
        <v>613</v>
      </c>
      <c r="G41" s="136"/>
      <c r="H41" s="42">
        <v>22.5</v>
      </c>
      <c r="I41" s="113"/>
      <c r="J41" s="113"/>
      <c r="K41" s="114"/>
      <c r="L41" s="105"/>
      <c r="M41" s="105"/>
      <c r="N41" s="105"/>
      <c r="O41" s="105"/>
      <c r="P41" s="105"/>
      <c r="Q41" s="105"/>
      <c r="R41" s="105"/>
      <c r="S41" s="105"/>
      <c r="T41" s="105"/>
      <c r="U41" s="104">
        <f t="shared" si="2"/>
        <v>741.1</v>
      </c>
      <c r="V41" s="93">
        <v>96.343000000000004</v>
      </c>
      <c r="W41" s="115"/>
      <c r="X41" s="115"/>
    </row>
    <row r="42" spans="2:24" x14ac:dyDescent="0.2">
      <c r="B42" s="90">
        <v>74</v>
      </c>
      <c r="C42" s="134" t="s">
        <v>665</v>
      </c>
      <c r="D42" s="111">
        <v>45152</v>
      </c>
      <c r="E42" s="99" t="s">
        <v>666</v>
      </c>
      <c r="F42" s="99" t="s">
        <v>667</v>
      </c>
      <c r="G42" s="136"/>
      <c r="H42" s="42">
        <v>22.5</v>
      </c>
      <c r="I42" s="113"/>
      <c r="J42" s="113"/>
      <c r="K42" s="114"/>
      <c r="L42" s="105"/>
      <c r="M42" s="105"/>
      <c r="N42" s="105"/>
      <c r="O42" s="105"/>
      <c r="P42" s="105"/>
      <c r="Q42" s="105"/>
      <c r="R42" s="105"/>
      <c r="S42" s="105"/>
      <c r="T42" s="105"/>
      <c r="U42" s="104"/>
      <c r="V42" s="93"/>
      <c r="W42" s="115"/>
      <c r="X42" s="115"/>
    </row>
    <row r="43" spans="2:24" x14ac:dyDescent="0.2">
      <c r="B43" s="108">
        <v>75</v>
      </c>
      <c r="C43" s="134" t="s">
        <v>668</v>
      </c>
      <c r="D43" s="111">
        <v>45153</v>
      </c>
      <c r="E43" s="99" t="s">
        <v>669</v>
      </c>
      <c r="F43" s="136" t="s">
        <v>613</v>
      </c>
      <c r="G43" s="136"/>
      <c r="H43" s="42">
        <v>11.25</v>
      </c>
      <c r="I43" s="113"/>
      <c r="J43" s="113"/>
      <c r="K43" s="114"/>
      <c r="L43" s="105"/>
      <c r="M43" s="105"/>
      <c r="N43" s="105"/>
      <c r="O43" s="105"/>
      <c r="P43" s="105"/>
      <c r="Q43" s="105"/>
      <c r="R43" s="105"/>
      <c r="S43" s="105"/>
      <c r="T43" s="105"/>
      <c r="U43" s="104">
        <f t="shared" si="2"/>
        <v>0</v>
      </c>
      <c r="V43" s="93">
        <v>0</v>
      </c>
      <c r="W43" s="115"/>
      <c r="X43" s="115"/>
    </row>
    <row r="44" spans="2:24" x14ac:dyDescent="0.2">
      <c r="B44" s="90">
        <v>76</v>
      </c>
      <c r="C44" s="134" t="s">
        <v>670</v>
      </c>
      <c r="D44" s="111">
        <v>45156</v>
      </c>
      <c r="E44" s="136" t="s">
        <v>671</v>
      </c>
      <c r="F44" s="136" t="s">
        <v>672</v>
      </c>
      <c r="G44" s="136"/>
      <c r="H44" s="42">
        <v>40.5</v>
      </c>
      <c r="I44" s="113"/>
      <c r="J44" s="113"/>
      <c r="K44" s="114"/>
      <c r="L44" s="105"/>
      <c r="M44" s="105"/>
      <c r="N44" s="105"/>
      <c r="O44" s="105"/>
      <c r="P44" s="105"/>
      <c r="Q44" s="105"/>
      <c r="R44" s="105"/>
      <c r="S44" s="105"/>
      <c r="T44" s="105"/>
      <c r="U44" s="104"/>
      <c r="V44" s="93"/>
      <c r="W44" s="115"/>
      <c r="X44" s="115"/>
    </row>
    <row r="45" spans="2:24" x14ac:dyDescent="0.2">
      <c r="B45" s="108">
        <v>77</v>
      </c>
      <c r="C45" s="134" t="s">
        <v>673</v>
      </c>
      <c r="D45" s="135">
        <v>45158</v>
      </c>
      <c r="E45" s="136" t="s">
        <v>674</v>
      </c>
      <c r="F45" s="136" t="s">
        <v>607</v>
      </c>
      <c r="G45" s="136"/>
      <c r="H45" s="42">
        <v>63</v>
      </c>
      <c r="I45" s="113"/>
      <c r="J45" s="113"/>
      <c r="K45" s="114"/>
      <c r="L45" s="105"/>
      <c r="M45" s="105"/>
      <c r="N45" s="105"/>
      <c r="O45" s="105"/>
      <c r="P45" s="105"/>
      <c r="Q45" s="105"/>
      <c r="R45" s="105"/>
      <c r="S45" s="105"/>
      <c r="T45" s="105"/>
      <c r="U45" s="104">
        <f t="shared" si="2"/>
        <v>0</v>
      </c>
      <c r="V45" s="93">
        <v>0</v>
      </c>
      <c r="W45" s="115"/>
      <c r="X45" s="115"/>
    </row>
    <row r="46" spans="2:24" x14ac:dyDescent="0.2">
      <c r="B46" s="90">
        <v>78</v>
      </c>
      <c r="C46" s="134" t="s">
        <v>675</v>
      </c>
      <c r="D46" s="135">
        <v>45159</v>
      </c>
      <c r="E46" s="136" t="s">
        <v>676</v>
      </c>
      <c r="F46" s="136" t="s">
        <v>613</v>
      </c>
      <c r="G46" s="136"/>
      <c r="H46" s="42">
        <v>18</v>
      </c>
      <c r="I46" s="113"/>
      <c r="J46" s="113"/>
      <c r="K46" s="114"/>
      <c r="L46" s="105"/>
      <c r="M46" s="105"/>
      <c r="N46" s="105"/>
      <c r="O46" s="105"/>
      <c r="P46" s="105"/>
      <c r="Q46" s="105"/>
      <c r="R46" s="105"/>
      <c r="S46" s="105"/>
      <c r="T46" s="105"/>
      <c r="U46" s="104">
        <f t="shared" si="2"/>
        <v>0</v>
      </c>
      <c r="V46" s="93">
        <v>0</v>
      </c>
      <c r="W46" s="115"/>
      <c r="X46" s="115"/>
    </row>
    <row r="47" spans="2:24" x14ac:dyDescent="0.2">
      <c r="B47" s="108">
        <v>79</v>
      </c>
      <c r="C47" s="134" t="s">
        <v>677</v>
      </c>
      <c r="D47" s="135">
        <v>45159</v>
      </c>
      <c r="E47" s="136" t="s">
        <v>614</v>
      </c>
      <c r="F47" s="136" t="s">
        <v>613</v>
      </c>
      <c r="G47" s="136"/>
      <c r="H47" s="42">
        <v>24</v>
      </c>
      <c r="I47" s="113"/>
      <c r="J47" s="113"/>
      <c r="K47" s="114"/>
      <c r="L47" s="105"/>
      <c r="M47" s="105"/>
      <c r="N47" s="105"/>
      <c r="O47" s="105"/>
      <c r="P47" s="105"/>
      <c r="Q47" s="105"/>
      <c r="R47" s="105"/>
      <c r="S47" s="105"/>
      <c r="T47" s="105"/>
      <c r="U47" s="104">
        <f t="shared" si="2"/>
        <v>1072.7615384615385</v>
      </c>
      <c r="V47" s="93">
        <v>139.459</v>
      </c>
      <c r="W47" s="115"/>
      <c r="X47" s="115"/>
    </row>
    <row r="48" spans="2:24" x14ac:dyDescent="0.2">
      <c r="B48" s="90">
        <v>80</v>
      </c>
      <c r="C48" s="134" t="s">
        <v>678</v>
      </c>
      <c r="D48" s="135">
        <v>45159</v>
      </c>
      <c r="E48" s="136" t="s">
        <v>679</v>
      </c>
      <c r="F48" s="136" t="s">
        <v>613</v>
      </c>
      <c r="G48" s="136"/>
      <c r="H48" s="42">
        <v>30</v>
      </c>
      <c r="I48" s="113"/>
      <c r="J48" s="113"/>
      <c r="K48" s="114"/>
      <c r="L48" s="105"/>
      <c r="M48" s="105"/>
      <c r="N48" s="105"/>
      <c r="O48" s="105"/>
      <c r="P48" s="105"/>
      <c r="Q48" s="105"/>
      <c r="R48" s="105"/>
      <c r="S48" s="105"/>
      <c r="T48" s="105"/>
      <c r="U48" s="104">
        <f t="shared" si="2"/>
        <v>0</v>
      </c>
      <c r="V48" s="93">
        <v>0</v>
      </c>
      <c r="W48" s="115"/>
      <c r="X48" s="115"/>
    </row>
    <row r="49" spans="2:24" x14ac:dyDescent="0.2">
      <c r="B49" s="108">
        <v>81</v>
      </c>
      <c r="C49" s="134" t="s">
        <v>680</v>
      </c>
      <c r="D49" s="135">
        <v>45160</v>
      </c>
      <c r="E49" s="136" t="s">
        <v>681</v>
      </c>
      <c r="F49" s="136" t="s">
        <v>607</v>
      </c>
      <c r="G49" s="136"/>
      <c r="H49" s="42">
        <v>45</v>
      </c>
      <c r="I49" s="113"/>
      <c r="J49" s="113"/>
      <c r="K49" s="114"/>
      <c r="L49" s="105"/>
      <c r="M49" s="105"/>
      <c r="N49" s="105"/>
      <c r="O49" s="105"/>
      <c r="P49" s="105"/>
      <c r="Q49" s="105"/>
      <c r="R49" s="105"/>
      <c r="S49" s="105"/>
      <c r="T49" s="105"/>
      <c r="U49" s="104">
        <f t="shared" si="2"/>
        <v>0</v>
      </c>
      <c r="V49" s="93">
        <v>0</v>
      </c>
      <c r="W49" s="115"/>
      <c r="X49" s="115"/>
    </row>
    <row r="50" spans="2:24" x14ac:dyDescent="0.2">
      <c r="B50" s="90">
        <v>82</v>
      </c>
      <c r="C50" s="134" t="s">
        <v>682</v>
      </c>
      <c r="D50" s="135">
        <v>45166</v>
      </c>
      <c r="E50" s="136" t="s">
        <v>683</v>
      </c>
      <c r="F50" s="136" t="s">
        <v>616</v>
      </c>
      <c r="G50" s="136"/>
      <c r="H50" s="42">
        <v>22.5</v>
      </c>
      <c r="I50" s="113"/>
      <c r="J50" s="113"/>
      <c r="K50" s="114"/>
      <c r="L50" s="105"/>
      <c r="M50" s="105"/>
      <c r="N50" s="105"/>
      <c r="O50" s="105"/>
      <c r="P50" s="105"/>
      <c r="Q50" s="105"/>
      <c r="R50" s="105"/>
      <c r="S50" s="105"/>
      <c r="T50" s="105"/>
      <c r="U50" s="104">
        <f t="shared" si="2"/>
        <v>4682.0230769230766</v>
      </c>
      <c r="V50" s="93">
        <v>608.66300000000001</v>
      </c>
      <c r="W50" s="115"/>
      <c r="X50" s="115"/>
    </row>
    <row r="51" spans="2:24" x14ac:dyDescent="0.2">
      <c r="B51" s="90"/>
      <c r="C51" s="134"/>
      <c r="D51" s="135"/>
      <c r="E51" s="136"/>
      <c r="F51" s="136"/>
      <c r="G51" s="136"/>
      <c r="H51" s="42"/>
      <c r="I51" s="113"/>
      <c r="J51" s="113"/>
      <c r="K51" s="114"/>
      <c r="L51" s="105"/>
      <c r="M51" s="105"/>
      <c r="N51" s="105"/>
      <c r="O51" s="105"/>
      <c r="P51" s="105"/>
      <c r="Q51" s="105"/>
      <c r="R51" s="105"/>
      <c r="S51" s="105"/>
      <c r="T51" s="105"/>
      <c r="U51" s="104">
        <f t="shared" si="2"/>
        <v>664.06153846153848</v>
      </c>
      <c r="V51" s="93">
        <v>86.328000000000003</v>
      </c>
      <c r="W51" s="115"/>
      <c r="X51" s="115"/>
    </row>
    <row r="52" spans="2:24" x14ac:dyDescent="0.2">
      <c r="B52" s="108"/>
      <c r="C52" s="134"/>
      <c r="D52" s="135"/>
      <c r="E52" s="136"/>
      <c r="F52" s="136"/>
      <c r="G52" s="136"/>
      <c r="H52" s="42"/>
      <c r="I52" s="113"/>
      <c r="J52" s="113"/>
      <c r="K52" s="114"/>
      <c r="L52" s="105"/>
      <c r="M52" s="105"/>
      <c r="N52" s="105"/>
      <c r="O52" s="105"/>
      <c r="P52" s="105"/>
      <c r="Q52" s="105"/>
      <c r="R52" s="105"/>
      <c r="S52" s="105"/>
      <c r="T52" s="105"/>
      <c r="U52" s="104">
        <f t="shared" si="2"/>
        <v>771.8</v>
      </c>
      <c r="V52" s="93">
        <v>100.334</v>
      </c>
      <c r="W52" s="115"/>
      <c r="X52" s="115"/>
    </row>
    <row r="53" spans="2:24" x14ac:dyDescent="0.2">
      <c r="B53" s="90"/>
      <c r="C53" s="134"/>
      <c r="D53" s="135"/>
      <c r="E53" s="136"/>
      <c r="F53" s="136"/>
      <c r="G53" s="136"/>
      <c r="H53" s="42"/>
      <c r="I53" s="113"/>
      <c r="J53" s="113"/>
      <c r="K53" s="114"/>
      <c r="L53" s="105"/>
      <c r="M53" s="105"/>
      <c r="N53" s="105"/>
      <c r="O53" s="105"/>
      <c r="P53" s="105"/>
      <c r="Q53" s="105"/>
      <c r="R53" s="105"/>
      <c r="S53" s="105"/>
      <c r="T53" s="105"/>
      <c r="U53" s="104">
        <f t="shared" si="2"/>
        <v>1144.4846153846152</v>
      </c>
      <c r="V53" s="93">
        <v>148.78299999999999</v>
      </c>
      <c r="W53" s="115"/>
      <c r="X53" s="115"/>
    </row>
    <row r="54" spans="2:24" x14ac:dyDescent="0.2">
      <c r="B54" s="90"/>
      <c r="C54" s="134"/>
      <c r="D54" s="135"/>
      <c r="E54" s="136"/>
      <c r="F54" s="136"/>
      <c r="G54" s="136"/>
      <c r="H54" s="42"/>
      <c r="I54" s="113"/>
      <c r="J54" s="113"/>
      <c r="K54" s="114"/>
      <c r="L54" s="105"/>
      <c r="M54" s="105"/>
      <c r="N54" s="105"/>
      <c r="O54" s="105"/>
      <c r="P54" s="105"/>
      <c r="Q54" s="105"/>
      <c r="R54" s="105"/>
      <c r="S54" s="105"/>
      <c r="T54" s="105"/>
      <c r="U54" s="104">
        <f t="shared" si="2"/>
        <v>966.01538461538451</v>
      </c>
      <c r="V54" s="93">
        <v>125.58199999999999</v>
      </c>
      <c r="W54" s="115"/>
      <c r="X54" s="115"/>
    </row>
    <row r="55" spans="2:24" x14ac:dyDescent="0.2">
      <c r="B55" s="108"/>
      <c r="C55" s="134"/>
      <c r="D55" s="135"/>
      <c r="E55" s="136"/>
      <c r="F55" s="136"/>
      <c r="G55" s="136"/>
      <c r="H55" s="42"/>
      <c r="I55" s="113"/>
      <c r="J55" s="113"/>
      <c r="K55" s="114"/>
      <c r="L55" s="105"/>
      <c r="M55" s="105"/>
      <c r="N55" s="105"/>
      <c r="O55" s="105"/>
      <c r="P55" s="105"/>
      <c r="Q55" s="105"/>
      <c r="R55" s="105"/>
      <c r="S55" s="105"/>
      <c r="T55" s="105"/>
      <c r="U55" s="104"/>
      <c r="V55" s="93"/>
      <c r="W55" s="115"/>
      <c r="X55" s="115"/>
    </row>
    <row r="56" spans="2:24" x14ac:dyDescent="0.2">
      <c r="B56" s="90"/>
      <c r="C56" s="134"/>
      <c r="D56" s="135"/>
      <c r="E56" s="136"/>
      <c r="F56" s="136"/>
      <c r="G56" s="136"/>
      <c r="H56" s="42"/>
      <c r="I56" s="113"/>
      <c r="J56" s="113"/>
      <c r="K56" s="114"/>
      <c r="L56" s="105"/>
      <c r="M56" s="105"/>
      <c r="N56" s="105"/>
      <c r="O56" s="105"/>
      <c r="P56" s="105"/>
      <c r="Q56" s="105"/>
      <c r="R56" s="105"/>
      <c r="S56" s="105"/>
      <c r="T56" s="105"/>
      <c r="U56" s="104"/>
      <c r="V56" s="93"/>
      <c r="W56" s="115"/>
      <c r="X56" s="115"/>
    </row>
    <row r="57" spans="2:24" x14ac:dyDescent="0.2">
      <c r="B57" s="90"/>
      <c r="C57" s="134"/>
      <c r="D57" s="135"/>
      <c r="E57" s="136"/>
      <c r="F57" s="136"/>
      <c r="G57" s="136"/>
      <c r="H57" s="42"/>
      <c r="I57" s="113"/>
      <c r="J57" s="113"/>
      <c r="K57" s="114"/>
      <c r="L57" s="105"/>
      <c r="M57" s="105"/>
      <c r="N57" s="105"/>
      <c r="O57" s="105"/>
      <c r="P57" s="105"/>
      <c r="Q57" s="105"/>
      <c r="R57" s="105"/>
      <c r="S57" s="105"/>
      <c r="T57" s="105"/>
      <c r="U57" s="104"/>
      <c r="V57" s="93"/>
      <c r="W57" s="115"/>
      <c r="X57" s="115"/>
    </row>
    <row r="58" spans="2:24" x14ac:dyDescent="0.2">
      <c r="B58" s="108"/>
      <c r="C58" s="134"/>
      <c r="D58" s="135"/>
      <c r="E58" s="136"/>
      <c r="F58" s="136"/>
      <c r="G58" s="136"/>
      <c r="H58" s="42"/>
      <c r="I58" s="113"/>
      <c r="J58" s="113"/>
      <c r="K58" s="114"/>
      <c r="L58" s="105"/>
      <c r="M58" s="105"/>
      <c r="N58" s="105"/>
      <c r="O58" s="105"/>
      <c r="P58" s="105"/>
      <c r="Q58" s="105"/>
      <c r="R58" s="105"/>
      <c r="S58" s="105"/>
      <c r="T58" s="105"/>
      <c r="U58" s="104"/>
      <c r="V58" s="93"/>
      <c r="W58" s="115"/>
      <c r="X58" s="115"/>
    </row>
    <row r="59" spans="2:24" x14ac:dyDescent="0.2">
      <c r="B59" s="90"/>
      <c r="C59" s="134"/>
      <c r="D59" s="135"/>
      <c r="E59" s="136"/>
      <c r="F59" s="136"/>
      <c r="G59" s="136"/>
      <c r="H59" s="42"/>
      <c r="I59" s="113"/>
      <c r="J59" s="113"/>
      <c r="K59" s="114"/>
      <c r="L59" s="105"/>
      <c r="M59" s="105"/>
      <c r="N59" s="105"/>
      <c r="O59" s="105"/>
      <c r="P59" s="105"/>
      <c r="Q59" s="105"/>
      <c r="R59" s="105"/>
      <c r="S59" s="105"/>
      <c r="T59" s="105"/>
      <c r="U59" s="104">
        <f t="shared" si="2"/>
        <v>0</v>
      </c>
      <c r="V59" s="93">
        <v>0</v>
      </c>
      <c r="W59" s="115"/>
      <c r="X59" s="115"/>
    </row>
    <row r="60" spans="2:24" ht="13.5" thickBot="1" x14ac:dyDescent="0.25">
      <c r="B60" s="108"/>
      <c r="C60" s="134"/>
      <c r="D60" s="135"/>
      <c r="E60" s="136"/>
      <c r="F60" s="136"/>
      <c r="G60" s="136"/>
      <c r="H60" s="42"/>
      <c r="I60" s="113"/>
      <c r="J60" s="113"/>
      <c r="K60" s="114"/>
      <c r="L60" s="105"/>
      <c r="M60" s="105"/>
      <c r="N60" s="105"/>
      <c r="O60" s="105"/>
      <c r="P60" s="105"/>
      <c r="Q60" s="105"/>
      <c r="R60" s="105"/>
      <c r="S60" s="105"/>
      <c r="T60" s="105"/>
      <c r="U60" s="104">
        <f t="shared" si="2"/>
        <v>0</v>
      </c>
      <c r="V60" s="93">
        <v>0</v>
      </c>
      <c r="W60" s="115"/>
      <c r="X60" s="115"/>
    </row>
    <row r="61" spans="2:24" x14ac:dyDescent="0.2">
      <c r="B61" s="159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</row>
    <row r="62" spans="2:24" x14ac:dyDescent="0.2">
      <c r="B62" s="7" t="s">
        <v>578</v>
      </c>
      <c r="C62" s="7"/>
      <c r="D62" s="7"/>
      <c r="E62" s="7"/>
      <c r="F62" s="7"/>
      <c r="G62" s="157"/>
      <c r="H62" s="106">
        <f>SUM(H29:H60)</f>
        <v>3650.6493461538462</v>
      </c>
      <c r="I62" s="15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06">
        <f>SUM(U29:U60)</f>
        <v>12969.457692307689</v>
      </c>
      <c r="V62" s="106">
        <f>SUM(V29:V60)</f>
        <v>1686.0295000000001</v>
      </c>
      <c r="W62" s="106">
        <f>SUM(W29:W59)</f>
        <v>0</v>
      </c>
      <c r="X62" s="106">
        <f>SUM(X29:X59)</f>
        <v>0</v>
      </c>
    </row>
    <row r="63" spans="2:24" x14ac:dyDescent="0.2">
      <c r="G63" s="88"/>
      <c r="H63" s="88"/>
      <c r="I63" s="88"/>
      <c r="X63" s="88"/>
    </row>
    <row r="64" spans="2:24" x14ac:dyDescent="0.2">
      <c r="X64" s="88"/>
    </row>
    <row r="65" spans="7:24" x14ac:dyDescent="0.2">
      <c r="X65" s="88"/>
    </row>
    <row r="66" spans="7:24" x14ac:dyDescent="0.2">
      <c r="H66" s="39">
        <f>SUM(H32:H34,H37:H50)</f>
        <v>468</v>
      </c>
      <c r="X66" s="88"/>
    </row>
    <row r="67" spans="7:24" x14ac:dyDescent="0.2">
      <c r="G67" s="123"/>
      <c r="X67" s="88"/>
    </row>
    <row r="68" spans="7:24" x14ac:dyDescent="0.2">
      <c r="X68" s="88"/>
    </row>
    <row r="69" spans="7:24" x14ac:dyDescent="0.2">
      <c r="H69" s="39">
        <f>H62-H66</f>
        <v>3182.6493461538462</v>
      </c>
      <c r="Q69" s="39"/>
      <c r="S69" s="39"/>
      <c r="X69" s="88"/>
    </row>
    <row r="70" spans="7:24" x14ac:dyDescent="0.2">
      <c r="Q70" s="35"/>
      <c r="S70" s="39"/>
      <c r="X70" s="88"/>
    </row>
    <row r="71" spans="7:24" x14ac:dyDescent="0.2">
      <c r="Q71" s="35"/>
      <c r="X71" s="88"/>
    </row>
    <row r="72" spans="7:24" x14ac:dyDescent="0.2">
      <c r="X72" s="88"/>
    </row>
    <row r="73" spans="7:24" x14ac:dyDescent="0.2">
      <c r="X73" s="88"/>
    </row>
    <row r="74" spans="7:24" x14ac:dyDescent="0.2">
      <c r="X74" s="88"/>
    </row>
    <row r="75" spans="7:24" x14ac:dyDescent="0.2">
      <c r="X75" s="88"/>
    </row>
    <row r="76" spans="7:24" x14ac:dyDescent="0.2">
      <c r="X76" s="88"/>
    </row>
    <row r="77" spans="7:24" x14ac:dyDescent="0.2">
      <c r="X77" s="88"/>
    </row>
    <row r="78" spans="7:24" x14ac:dyDescent="0.2">
      <c r="X78" s="88"/>
    </row>
    <row r="79" spans="7:24" x14ac:dyDescent="0.2">
      <c r="X79" s="88"/>
    </row>
    <row r="80" spans="7:24" x14ac:dyDescent="0.2">
      <c r="X80" s="88"/>
    </row>
    <row r="81" spans="24:24" x14ac:dyDescent="0.2">
      <c r="X81" s="88"/>
    </row>
    <row r="82" spans="24:24" x14ac:dyDescent="0.2">
      <c r="X82" s="88"/>
    </row>
    <row r="83" spans="24:24" x14ac:dyDescent="0.2">
      <c r="X83" s="88"/>
    </row>
    <row r="84" spans="24:24" x14ac:dyDescent="0.2">
      <c r="X84" s="88"/>
    </row>
    <row r="85" spans="24:24" x14ac:dyDescent="0.2">
      <c r="X85" s="88"/>
    </row>
    <row r="86" spans="24:24" x14ac:dyDescent="0.2">
      <c r="X86" s="88"/>
    </row>
    <row r="87" spans="24:24" x14ac:dyDescent="0.2">
      <c r="X87" s="88"/>
    </row>
    <row r="88" spans="24:24" x14ac:dyDescent="0.2">
      <c r="X88" s="88"/>
    </row>
    <row r="89" spans="24:24" x14ac:dyDescent="0.2">
      <c r="X89" s="88"/>
    </row>
    <row r="90" spans="24:24" x14ac:dyDescent="0.2">
      <c r="X90" s="88"/>
    </row>
    <row r="91" spans="24:24" x14ac:dyDescent="0.2">
      <c r="X91" s="88"/>
    </row>
    <row r="92" spans="24:24" x14ac:dyDescent="0.2">
      <c r="X92" s="88"/>
    </row>
    <row r="93" spans="24:24" x14ac:dyDescent="0.2">
      <c r="X93" s="88"/>
    </row>
    <row r="94" spans="24:24" x14ac:dyDescent="0.2">
      <c r="X94" s="88"/>
    </row>
    <row r="95" spans="24:24" x14ac:dyDescent="0.2">
      <c r="X95" s="88"/>
    </row>
    <row r="96" spans="24:24" x14ac:dyDescent="0.2">
      <c r="X96" s="88"/>
    </row>
    <row r="97" spans="24:24" x14ac:dyDescent="0.2">
      <c r="X97" s="88"/>
    </row>
    <row r="98" spans="24:24" x14ac:dyDescent="0.2">
      <c r="X98" s="88"/>
    </row>
    <row r="99" spans="24:24" x14ac:dyDescent="0.2">
      <c r="X99" s="88"/>
    </row>
    <row r="100" spans="24:24" x14ac:dyDescent="0.2">
      <c r="X100" s="88"/>
    </row>
    <row r="101" spans="24:24" x14ac:dyDescent="0.2">
      <c r="X101" s="88"/>
    </row>
    <row r="102" spans="24:24" x14ac:dyDescent="0.2">
      <c r="X102" s="88"/>
    </row>
    <row r="103" spans="24:24" x14ac:dyDescent="0.2">
      <c r="X103" s="88"/>
    </row>
    <row r="104" spans="24:24" x14ac:dyDescent="0.2">
      <c r="X104" s="88"/>
    </row>
    <row r="105" spans="24:24" x14ac:dyDescent="0.2">
      <c r="X105" s="88"/>
    </row>
    <row r="106" spans="24:24" x14ac:dyDescent="0.2">
      <c r="X106" s="88"/>
    </row>
    <row r="107" spans="24:24" x14ac:dyDescent="0.2">
      <c r="X107" s="88"/>
    </row>
    <row r="108" spans="24:24" x14ac:dyDescent="0.2">
      <c r="X108" s="88"/>
    </row>
    <row r="109" spans="24:24" x14ac:dyDescent="0.2">
      <c r="X109" s="88"/>
    </row>
    <row r="110" spans="24:24" x14ac:dyDescent="0.2">
      <c r="X110" s="88"/>
    </row>
    <row r="111" spans="24:24" x14ac:dyDescent="0.2">
      <c r="X111" s="88"/>
    </row>
    <row r="112" spans="24:24" x14ac:dyDescent="0.2">
      <c r="X112" s="88"/>
    </row>
    <row r="113" spans="24:24" x14ac:dyDescent="0.2">
      <c r="X113" s="88"/>
    </row>
    <row r="114" spans="24:24" x14ac:dyDescent="0.2">
      <c r="X114" s="88"/>
    </row>
    <row r="115" spans="24:24" x14ac:dyDescent="0.2">
      <c r="X115" s="88"/>
    </row>
    <row r="116" spans="24:24" x14ac:dyDescent="0.2">
      <c r="X116" s="88"/>
    </row>
    <row r="117" spans="24:24" x14ac:dyDescent="0.2">
      <c r="X117" s="88"/>
    </row>
    <row r="118" spans="24:24" x14ac:dyDescent="0.2">
      <c r="X118" s="88"/>
    </row>
    <row r="119" spans="24:24" x14ac:dyDescent="0.2">
      <c r="X119" s="88"/>
    </row>
    <row r="120" spans="24:24" x14ac:dyDescent="0.2">
      <c r="X120" s="88"/>
    </row>
    <row r="121" spans="24:24" x14ac:dyDescent="0.2">
      <c r="X121" s="88"/>
    </row>
    <row r="122" spans="24:24" x14ac:dyDescent="0.2">
      <c r="X122" s="88"/>
    </row>
    <row r="123" spans="24:24" x14ac:dyDescent="0.2">
      <c r="X123" s="88"/>
    </row>
    <row r="124" spans="24:24" x14ac:dyDescent="0.2">
      <c r="X124" s="88"/>
    </row>
    <row r="125" spans="24:24" x14ac:dyDescent="0.2">
      <c r="X125" s="88"/>
    </row>
    <row r="126" spans="24:24" x14ac:dyDescent="0.2">
      <c r="X126" s="88"/>
    </row>
    <row r="127" spans="24:24" x14ac:dyDescent="0.2">
      <c r="X127" s="88"/>
    </row>
    <row r="128" spans="24:24" x14ac:dyDescent="0.2">
      <c r="X128" s="88"/>
    </row>
    <row r="129" spans="24:24" x14ac:dyDescent="0.2">
      <c r="X129" s="88"/>
    </row>
    <row r="130" spans="24:24" x14ac:dyDescent="0.2">
      <c r="X130" s="88"/>
    </row>
    <row r="131" spans="24:24" x14ac:dyDescent="0.2">
      <c r="X131" s="88"/>
    </row>
    <row r="132" spans="24:24" x14ac:dyDescent="0.2">
      <c r="X132" s="88"/>
    </row>
    <row r="133" spans="24:24" x14ac:dyDescent="0.2">
      <c r="X133" s="88"/>
    </row>
    <row r="134" spans="24:24" x14ac:dyDescent="0.2">
      <c r="X134" s="88"/>
    </row>
    <row r="135" spans="24:24" x14ac:dyDescent="0.2">
      <c r="X135" s="88"/>
    </row>
    <row r="136" spans="24:24" x14ac:dyDescent="0.2">
      <c r="X136" s="88"/>
    </row>
    <row r="137" spans="24:24" x14ac:dyDescent="0.2">
      <c r="X137" s="88"/>
    </row>
    <row r="138" spans="24:24" x14ac:dyDescent="0.2">
      <c r="X138" s="88"/>
    </row>
    <row r="139" spans="24:24" x14ac:dyDescent="0.2">
      <c r="X139" s="88"/>
    </row>
    <row r="140" spans="24:24" x14ac:dyDescent="0.2">
      <c r="X140" s="88"/>
    </row>
    <row r="141" spans="24:24" x14ac:dyDescent="0.2">
      <c r="X141" s="88"/>
    </row>
    <row r="142" spans="24:24" x14ac:dyDescent="0.2">
      <c r="X142" s="88"/>
    </row>
    <row r="143" spans="24:24" x14ac:dyDescent="0.2">
      <c r="X143" s="88"/>
    </row>
    <row r="144" spans="24:24" x14ac:dyDescent="0.2">
      <c r="X144" s="88"/>
    </row>
    <row r="145" spans="24:24" x14ac:dyDescent="0.2">
      <c r="X145" s="88"/>
    </row>
    <row r="146" spans="24:24" x14ac:dyDescent="0.2">
      <c r="X146" s="88"/>
    </row>
    <row r="147" spans="24:24" x14ac:dyDescent="0.2">
      <c r="X147" s="88"/>
    </row>
    <row r="148" spans="24:24" x14ac:dyDescent="0.2">
      <c r="X148" s="88"/>
    </row>
    <row r="149" spans="24:24" x14ac:dyDescent="0.2">
      <c r="X149" s="88"/>
    </row>
    <row r="150" spans="24:24" x14ac:dyDescent="0.2">
      <c r="X150" s="88"/>
    </row>
    <row r="151" spans="24:24" x14ac:dyDescent="0.2">
      <c r="X151" s="88"/>
    </row>
    <row r="152" spans="24:24" x14ac:dyDescent="0.2">
      <c r="X152" s="88"/>
    </row>
    <row r="153" spans="24:24" x14ac:dyDescent="0.2">
      <c r="X153" s="88"/>
    </row>
    <row r="154" spans="24:24" x14ac:dyDescent="0.2">
      <c r="X154" s="88"/>
    </row>
    <row r="155" spans="24:24" x14ac:dyDescent="0.2">
      <c r="X155" s="88"/>
    </row>
    <row r="156" spans="24:24" x14ac:dyDescent="0.2">
      <c r="X156" s="88"/>
    </row>
    <row r="157" spans="24:24" x14ac:dyDescent="0.2">
      <c r="X157" s="88"/>
    </row>
    <row r="158" spans="24:24" x14ac:dyDescent="0.2">
      <c r="X158" s="88"/>
    </row>
    <row r="159" spans="24:24" x14ac:dyDescent="0.2">
      <c r="X159" s="88"/>
    </row>
    <row r="160" spans="24:24" x14ac:dyDescent="0.2">
      <c r="X160" s="88"/>
    </row>
    <row r="161" spans="24:24" x14ac:dyDescent="0.2">
      <c r="X161" s="88"/>
    </row>
    <row r="162" spans="24:24" x14ac:dyDescent="0.2">
      <c r="X162" s="88"/>
    </row>
    <row r="163" spans="24:24" x14ac:dyDescent="0.2">
      <c r="X163" s="88"/>
    </row>
    <row r="164" spans="24:24" x14ac:dyDescent="0.2">
      <c r="X164" s="88"/>
    </row>
    <row r="165" spans="24:24" x14ac:dyDescent="0.2">
      <c r="X165" s="88"/>
    </row>
    <row r="166" spans="24:24" x14ac:dyDescent="0.2">
      <c r="X166" s="88"/>
    </row>
    <row r="167" spans="24:24" x14ac:dyDescent="0.2">
      <c r="X167" s="88"/>
    </row>
    <row r="168" spans="24:24" x14ac:dyDescent="0.2">
      <c r="X168" s="88"/>
    </row>
    <row r="169" spans="24:24" x14ac:dyDescent="0.2">
      <c r="X169" s="88"/>
    </row>
    <row r="170" spans="24:24" x14ac:dyDescent="0.2">
      <c r="X170" s="88"/>
    </row>
    <row r="171" spans="24:24" x14ac:dyDescent="0.2">
      <c r="X171" s="88"/>
    </row>
    <row r="172" spans="24:24" x14ac:dyDescent="0.2">
      <c r="X172" s="88"/>
    </row>
    <row r="173" spans="24:24" x14ac:dyDescent="0.2">
      <c r="X173" s="88"/>
    </row>
    <row r="174" spans="24:24" x14ac:dyDescent="0.2">
      <c r="X174" s="88"/>
    </row>
    <row r="175" spans="24:24" x14ac:dyDescent="0.2">
      <c r="X175" s="88"/>
    </row>
    <row r="176" spans="24:24" x14ac:dyDescent="0.2">
      <c r="X176" s="88"/>
    </row>
    <row r="177" spans="24:24" x14ac:dyDescent="0.2">
      <c r="X177" s="88"/>
    </row>
    <row r="178" spans="24:24" x14ac:dyDescent="0.2">
      <c r="X178" s="88"/>
    </row>
    <row r="179" spans="24:24" x14ac:dyDescent="0.2">
      <c r="X179" s="88"/>
    </row>
    <row r="180" spans="24:24" x14ac:dyDescent="0.2">
      <c r="X180" s="88"/>
    </row>
    <row r="181" spans="24:24" x14ac:dyDescent="0.2">
      <c r="X181" s="88"/>
    </row>
    <row r="182" spans="24:24" x14ac:dyDescent="0.2">
      <c r="X182" s="88"/>
    </row>
    <row r="183" spans="24:24" x14ac:dyDescent="0.2">
      <c r="X183" s="88"/>
    </row>
    <row r="184" spans="24:24" x14ac:dyDescent="0.2">
      <c r="X184" s="88"/>
    </row>
    <row r="185" spans="24:24" x14ac:dyDescent="0.2">
      <c r="X185" s="88"/>
    </row>
    <row r="186" spans="24:24" x14ac:dyDescent="0.2">
      <c r="X186" s="88"/>
    </row>
    <row r="187" spans="24:24" x14ac:dyDescent="0.2">
      <c r="X187" s="88"/>
    </row>
    <row r="188" spans="24:24" x14ac:dyDescent="0.2">
      <c r="X188" s="88"/>
    </row>
    <row r="189" spans="24:24" x14ac:dyDescent="0.2">
      <c r="X189" s="88"/>
    </row>
    <row r="190" spans="24:24" x14ac:dyDescent="0.2">
      <c r="X190" s="88"/>
    </row>
    <row r="191" spans="24:24" x14ac:dyDescent="0.2">
      <c r="X191" s="88"/>
    </row>
    <row r="192" spans="24:24" x14ac:dyDescent="0.2">
      <c r="X192" s="88"/>
    </row>
    <row r="193" spans="24:24" x14ac:dyDescent="0.2">
      <c r="X193" s="88"/>
    </row>
    <row r="194" spans="24:24" x14ac:dyDescent="0.2">
      <c r="X194" s="88"/>
    </row>
    <row r="195" spans="24:24" x14ac:dyDescent="0.2">
      <c r="X195" s="88"/>
    </row>
    <row r="196" spans="24:24" x14ac:dyDescent="0.2">
      <c r="X196" s="88"/>
    </row>
    <row r="197" spans="24:24" x14ac:dyDescent="0.2">
      <c r="X197" s="88"/>
    </row>
    <row r="198" spans="24:24" x14ac:dyDescent="0.2">
      <c r="X198" s="88"/>
    </row>
    <row r="199" spans="24:24" x14ac:dyDescent="0.2">
      <c r="X199" s="88"/>
    </row>
    <row r="200" spans="24:24" x14ac:dyDescent="0.2">
      <c r="X200" s="88"/>
    </row>
    <row r="201" spans="24:24" x14ac:dyDescent="0.2">
      <c r="X201" s="88"/>
    </row>
    <row r="202" spans="24:24" x14ac:dyDescent="0.2">
      <c r="X202" s="88"/>
    </row>
    <row r="203" spans="24:24" x14ac:dyDescent="0.2">
      <c r="X203" s="88"/>
    </row>
    <row r="204" spans="24:24" x14ac:dyDescent="0.2">
      <c r="X204" s="88"/>
    </row>
    <row r="205" spans="24:24" x14ac:dyDescent="0.2">
      <c r="X205" s="88"/>
    </row>
    <row r="206" spans="24:24" x14ac:dyDescent="0.2">
      <c r="X206" s="88"/>
    </row>
    <row r="207" spans="24:24" x14ac:dyDescent="0.2">
      <c r="X207" s="88"/>
    </row>
    <row r="208" spans="24:24" x14ac:dyDescent="0.2">
      <c r="X208" s="88"/>
    </row>
    <row r="209" spans="24:24" x14ac:dyDescent="0.2">
      <c r="X209" s="88"/>
    </row>
    <row r="210" spans="24:24" x14ac:dyDescent="0.2">
      <c r="X210" s="88"/>
    </row>
    <row r="211" spans="24:24" x14ac:dyDescent="0.2">
      <c r="X211" s="88"/>
    </row>
    <row r="212" spans="24:24" x14ac:dyDescent="0.2">
      <c r="X212" s="88"/>
    </row>
    <row r="213" spans="24:24" x14ac:dyDescent="0.2">
      <c r="X213" s="88"/>
    </row>
    <row r="214" spans="24:24" x14ac:dyDescent="0.2">
      <c r="X214" s="88"/>
    </row>
    <row r="215" spans="24:24" x14ac:dyDescent="0.2">
      <c r="X215" s="88"/>
    </row>
    <row r="216" spans="24:24" x14ac:dyDescent="0.2">
      <c r="X216" s="88"/>
    </row>
    <row r="217" spans="24:24" x14ac:dyDescent="0.2">
      <c r="X217" s="88"/>
    </row>
    <row r="218" spans="24:24" x14ac:dyDescent="0.2">
      <c r="X218" s="88"/>
    </row>
    <row r="219" spans="24:24" x14ac:dyDescent="0.2">
      <c r="X219" s="88"/>
    </row>
    <row r="220" spans="24:24" x14ac:dyDescent="0.2">
      <c r="X220" s="88"/>
    </row>
    <row r="221" spans="24:24" x14ac:dyDescent="0.2">
      <c r="X221" s="88"/>
    </row>
    <row r="222" spans="24:24" x14ac:dyDescent="0.2">
      <c r="X222" s="88"/>
    </row>
    <row r="223" spans="24:24" x14ac:dyDescent="0.2">
      <c r="X223" s="88"/>
    </row>
    <row r="224" spans="24:24" x14ac:dyDescent="0.2">
      <c r="X224" s="88"/>
    </row>
    <row r="225" spans="24:24" x14ac:dyDescent="0.2">
      <c r="X225" s="88"/>
    </row>
    <row r="226" spans="24:24" x14ac:dyDescent="0.2">
      <c r="X226" s="88"/>
    </row>
    <row r="227" spans="24:24" x14ac:dyDescent="0.2">
      <c r="X227" s="88"/>
    </row>
    <row r="228" spans="24:24" x14ac:dyDescent="0.2">
      <c r="X228" s="88"/>
    </row>
    <row r="229" spans="24:24" x14ac:dyDescent="0.2">
      <c r="X229" s="88"/>
    </row>
    <row r="230" spans="24:24" x14ac:dyDescent="0.2">
      <c r="X230" s="88"/>
    </row>
    <row r="231" spans="24:24" x14ac:dyDescent="0.2">
      <c r="X231" s="88"/>
    </row>
    <row r="232" spans="24:24" x14ac:dyDescent="0.2">
      <c r="X232" s="88"/>
    </row>
    <row r="233" spans="24:24" x14ac:dyDescent="0.2">
      <c r="X233" s="88"/>
    </row>
    <row r="234" spans="24:24" x14ac:dyDescent="0.2">
      <c r="X234" s="88"/>
    </row>
    <row r="235" spans="24:24" x14ac:dyDescent="0.2">
      <c r="X235" s="88"/>
    </row>
    <row r="236" spans="24:24" x14ac:dyDescent="0.2">
      <c r="X236" s="88"/>
    </row>
    <row r="237" spans="24:24" x14ac:dyDescent="0.2">
      <c r="X237" s="88"/>
    </row>
    <row r="238" spans="24:24" x14ac:dyDescent="0.2">
      <c r="X238" s="88"/>
    </row>
    <row r="239" spans="24:24" x14ac:dyDescent="0.2">
      <c r="X239" s="88"/>
    </row>
    <row r="240" spans="24:24" x14ac:dyDescent="0.2">
      <c r="X240" s="88"/>
    </row>
    <row r="241" spans="24:24" x14ac:dyDescent="0.2">
      <c r="X241" s="88"/>
    </row>
    <row r="242" spans="24:24" x14ac:dyDescent="0.2">
      <c r="X242" s="88"/>
    </row>
    <row r="243" spans="24:24" x14ac:dyDescent="0.2">
      <c r="X243" s="88"/>
    </row>
    <row r="244" spans="24:24" x14ac:dyDescent="0.2">
      <c r="X244" s="88"/>
    </row>
    <row r="245" spans="24:24" x14ac:dyDescent="0.2">
      <c r="X245" s="88"/>
    </row>
    <row r="246" spans="24:24" x14ac:dyDescent="0.2">
      <c r="X246" s="88"/>
    </row>
    <row r="247" spans="24:24" x14ac:dyDescent="0.2">
      <c r="X247" s="88"/>
    </row>
    <row r="248" spans="24:24" x14ac:dyDescent="0.2">
      <c r="X248" s="88"/>
    </row>
    <row r="249" spans="24:24" x14ac:dyDescent="0.2">
      <c r="X249" s="88"/>
    </row>
    <row r="250" spans="24:24" x14ac:dyDescent="0.2">
      <c r="X250" s="88"/>
    </row>
    <row r="251" spans="24:24" x14ac:dyDescent="0.2">
      <c r="X251" s="88"/>
    </row>
    <row r="252" spans="24:24" x14ac:dyDescent="0.2">
      <c r="X252" s="88"/>
    </row>
    <row r="253" spans="24:24" x14ac:dyDescent="0.2">
      <c r="X253" s="88"/>
    </row>
    <row r="254" spans="24:24" x14ac:dyDescent="0.2">
      <c r="X254" s="88"/>
    </row>
    <row r="255" spans="24:24" x14ac:dyDescent="0.2">
      <c r="X255" s="88"/>
    </row>
    <row r="256" spans="24:24" x14ac:dyDescent="0.2">
      <c r="X256" s="88"/>
    </row>
    <row r="257" spans="24:24" x14ac:dyDescent="0.2">
      <c r="X257" s="88"/>
    </row>
    <row r="258" spans="24:24" x14ac:dyDescent="0.2">
      <c r="X258" s="88"/>
    </row>
    <row r="259" spans="24:24" x14ac:dyDescent="0.2">
      <c r="X259" s="88"/>
    </row>
    <row r="260" spans="24:24" x14ac:dyDescent="0.2">
      <c r="X260" s="88"/>
    </row>
    <row r="261" spans="24:24" x14ac:dyDescent="0.2">
      <c r="X261" s="88"/>
    </row>
    <row r="262" spans="24:24" x14ac:dyDescent="0.2">
      <c r="X262" s="88"/>
    </row>
    <row r="263" spans="24:24" x14ac:dyDescent="0.2">
      <c r="X263" s="88"/>
    </row>
    <row r="264" spans="24:24" x14ac:dyDescent="0.2">
      <c r="X264" s="88"/>
    </row>
    <row r="265" spans="24:24" x14ac:dyDescent="0.2">
      <c r="X265" s="88"/>
    </row>
    <row r="266" spans="24:24" x14ac:dyDescent="0.2">
      <c r="X266" s="88"/>
    </row>
    <row r="267" spans="24:24" x14ac:dyDescent="0.2">
      <c r="X267" s="88"/>
    </row>
    <row r="268" spans="24:24" x14ac:dyDescent="0.2">
      <c r="X268" s="88"/>
    </row>
    <row r="269" spans="24:24" x14ac:dyDescent="0.2">
      <c r="X269" s="88"/>
    </row>
    <row r="270" spans="24:24" x14ac:dyDescent="0.2">
      <c r="X270" s="88"/>
    </row>
    <row r="271" spans="24:24" x14ac:dyDescent="0.2">
      <c r="X271" s="88"/>
    </row>
    <row r="272" spans="24:24" x14ac:dyDescent="0.2">
      <c r="X272" s="88"/>
    </row>
    <row r="273" spans="24:24" x14ac:dyDescent="0.2">
      <c r="X273" s="88"/>
    </row>
    <row r="274" spans="24:24" x14ac:dyDescent="0.2">
      <c r="X274" s="88"/>
    </row>
    <row r="275" spans="24:24" x14ac:dyDescent="0.2">
      <c r="X275" s="88"/>
    </row>
    <row r="276" spans="24:24" x14ac:dyDescent="0.2">
      <c r="X276" s="88"/>
    </row>
    <row r="277" spans="24:24" x14ac:dyDescent="0.2">
      <c r="X277" s="88"/>
    </row>
    <row r="278" spans="24:24" x14ac:dyDescent="0.2">
      <c r="X278" s="88"/>
    </row>
    <row r="279" spans="24:24" x14ac:dyDescent="0.2">
      <c r="X279" s="88"/>
    </row>
    <row r="280" spans="24:24" x14ac:dyDescent="0.2">
      <c r="X280" s="88"/>
    </row>
    <row r="281" spans="24:24" x14ac:dyDescent="0.2">
      <c r="X281" s="88"/>
    </row>
    <row r="282" spans="24:24" x14ac:dyDescent="0.2">
      <c r="X282" s="88"/>
    </row>
    <row r="283" spans="24:24" x14ac:dyDescent="0.2">
      <c r="X283" s="88"/>
    </row>
    <row r="284" spans="24:24" x14ac:dyDescent="0.2">
      <c r="X284" s="88"/>
    </row>
    <row r="285" spans="24:24" x14ac:dyDescent="0.2">
      <c r="X285" s="88"/>
    </row>
    <row r="286" spans="24:24" x14ac:dyDescent="0.2">
      <c r="X286" s="88"/>
    </row>
    <row r="287" spans="24:24" x14ac:dyDescent="0.2">
      <c r="X287" s="88"/>
    </row>
    <row r="288" spans="24:24" x14ac:dyDescent="0.2">
      <c r="X288" s="88"/>
    </row>
    <row r="289" spans="24:24" x14ac:dyDescent="0.2">
      <c r="X289" s="88"/>
    </row>
    <row r="290" spans="24:24" x14ac:dyDescent="0.2">
      <c r="X290" s="88"/>
    </row>
    <row r="291" spans="24:24" x14ac:dyDescent="0.2">
      <c r="X291" s="88"/>
    </row>
    <row r="292" spans="24:24" x14ac:dyDescent="0.2">
      <c r="X292" s="88"/>
    </row>
    <row r="293" spans="24:24" x14ac:dyDescent="0.2">
      <c r="X293" s="88"/>
    </row>
    <row r="294" spans="24:24" x14ac:dyDescent="0.2">
      <c r="X294" s="88"/>
    </row>
    <row r="295" spans="24:24" x14ac:dyDescent="0.2">
      <c r="X295" s="88"/>
    </row>
    <row r="296" spans="24:24" x14ac:dyDescent="0.2">
      <c r="X296" s="88"/>
    </row>
    <row r="297" spans="24:24" x14ac:dyDescent="0.2">
      <c r="X297" s="88"/>
    </row>
    <row r="298" spans="24:24" x14ac:dyDescent="0.2">
      <c r="X298" s="88"/>
    </row>
    <row r="299" spans="24:24" x14ac:dyDescent="0.2">
      <c r="X299" s="88"/>
    </row>
    <row r="300" spans="24:24" x14ac:dyDescent="0.2">
      <c r="X300" s="88"/>
    </row>
    <row r="301" spans="24:24" x14ac:dyDescent="0.2">
      <c r="X301" s="88"/>
    </row>
    <row r="302" spans="24:24" x14ac:dyDescent="0.2">
      <c r="X302" s="88"/>
    </row>
    <row r="303" spans="24:24" x14ac:dyDescent="0.2">
      <c r="X303" s="88"/>
    </row>
    <row r="304" spans="24:24" x14ac:dyDescent="0.2">
      <c r="X304" s="88"/>
    </row>
    <row r="305" spans="24:24" x14ac:dyDescent="0.2">
      <c r="X305" s="88"/>
    </row>
    <row r="306" spans="24:24" x14ac:dyDescent="0.2">
      <c r="X306" s="88"/>
    </row>
    <row r="307" spans="24:24" x14ac:dyDescent="0.2">
      <c r="X307" s="88"/>
    </row>
    <row r="308" spans="24:24" x14ac:dyDescent="0.2">
      <c r="X308" s="88"/>
    </row>
    <row r="309" spans="24:24" x14ac:dyDescent="0.2">
      <c r="X309" s="88"/>
    </row>
    <row r="310" spans="24:24" x14ac:dyDescent="0.2">
      <c r="X310" s="88"/>
    </row>
    <row r="311" spans="24:24" x14ac:dyDescent="0.2">
      <c r="X311" s="88"/>
    </row>
    <row r="312" spans="24:24" x14ac:dyDescent="0.2">
      <c r="X312" s="88"/>
    </row>
    <row r="313" spans="24:24" x14ac:dyDescent="0.2">
      <c r="X313" s="88"/>
    </row>
    <row r="314" spans="24:24" x14ac:dyDescent="0.2">
      <c r="X314" s="88"/>
    </row>
    <row r="315" spans="24:24" x14ac:dyDescent="0.2">
      <c r="X315" s="88"/>
    </row>
    <row r="316" spans="24:24" x14ac:dyDescent="0.2">
      <c r="X316" s="88"/>
    </row>
    <row r="317" spans="24:24" x14ac:dyDescent="0.2">
      <c r="X317" s="88"/>
    </row>
    <row r="318" spans="24:24" x14ac:dyDescent="0.2">
      <c r="X318" s="88"/>
    </row>
    <row r="319" spans="24:24" x14ac:dyDescent="0.2">
      <c r="X319" s="88"/>
    </row>
    <row r="320" spans="24:24" x14ac:dyDescent="0.2">
      <c r="X320" s="88"/>
    </row>
    <row r="321" spans="24:24" x14ac:dyDescent="0.2">
      <c r="X321" s="88"/>
    </row>
    <row r="322" spans="24:24" x14ac:dyDescent="0.2">
      <c r="X322" s="88"/>
    </row>
    <row r="323" spans="24:24" x14ac:dyDescent="0.2">
      <c r="X323" s="88"/>
    </row>
    <row r="324" spans="24:24" x14ac:dyDescent="0.2">
      <c r="X324" s="88"/>
    </row>
    <row r="325" spans="24:24" x14ac:dyDescent="0.2">
      <c r="X325" s="88"/>
    </row>
    <row r="326" spans="24:24" x14ac:dyDescent="0.2">
      <c r="X326" s="88"/>
    </row>
    <row r="327" spans="24:24" x14ac:dyDescent="0.2">
      <c r="X327" s="88"/>
    </row>
    <row r="328" spans="24:24" x14ac:dyDescent="0.2">
      <c r="X328" s="88"/>
    </row>
    <row r="329" spans="24:24" x14ac:dyDescent="0.2">
      <c r="X329" s="88"/>
    </row>
    <row r="330" spans="24:24" x14ac:dyDescent="0.2">
      <c r="X330" s="88"/>
    </row>
    <row r="331" spans="24:24" x14ac:dyDescent="0.2">
      <c r="X331" s="88"/>
    </row>
    <row r="332" spans="24:24" x14ac:dyDescent="0.2">
      <c r="X332" s="88"/>
    </row>
    <row r="333" spans="24:24" x14ac:dyDescent="0.2">
      <c r="X333" s="88"/>
    </row>
    <row r="334" spans="24:24" x14ac:dyDescent="0.2">
      <c r="X334" s="88"/>
    </row>
    <row r="335" spans="24:24" x14ac:dyDescent="0.2">
      <c r="X335" s="88"/>
    </row>
    <row r="336" spans="24:24" x14ac:dyDescent="0.2">
      <c r="X336" s="88"/>
    </row>
    <row r="337" spans="24:24" x14ac:dyDescent="0.2">
      <c r="X337" s="88"/>
    </row>
    <row r="338" spans="24:24" x14ac:dyDescent="0.2">
      <c r="X338" s="88"/>
    </row>
    <row r="339" spans="24:24" x14ac:dyDescent="0.2">
      <c r="X339" s="88"/>
    </row>
    <row r="340" spans="24:24" x14ac:dyDescent="0.2">
      <c r="X340" s="88"/>
    </row>
    <row r="341" spans="24:24" x14ac:dyDescent="0.2">
      <c r="X341" s="88"/>
    </row>
    <row r="342" spans="24:24" x14ac:dyDescent="0.2">
      <c r="X342" s="88"/>
    </row>
    <row r="343" spans="24:24" x14ac:dyDescent="0.2">
      <c r="X343" s="88"/>
    </row>
    <row r="344" spans="24:24" x14ac:dyDescent="0.2">
      <c r="X344" s="88"/>
    </row>
    <row r="345" spans="24:24" x14ac:dyDescent="0.2">
      <c r="X345" s="88"/>
    </row>
    <row r="346" spans="24:24" x14ac:dyDescent="0.2">
      <c r="X346" s="88"/>
    </row>
    <row r="347" spans="24:24" x14ac:dyDescent="0.2">
      <c r="X347" s="88"/>
    </row>
    <row r="348" spans="24:24" x14ac:dyDescent="0.2">
      <c r="X348" s="88"/>
    </row>
    <row r="349" spans="24:24" x14ac:dyDescent="0.2">
      <c r="X349" s="88"/>
    </row>
    <row r="350" spans="24:24" x14ac:dyDescent="0.2">
      <c r="X350" s="88"/>
    </row>
    <row r="351" spans="24:24" x14ac:dyDescent="0.2">
      <c r="X351" s="88"/>
    </row>
    <row r="352" spans="24:24" x14ac:dyDescent="0.2">
      <c r="X352" s="88"/>
    </row>
    <row r="353" spans="24:24" x14ac:dyDescent="0.2">
      <c r="X353" s="88"/>
    </row>
    <row r="354" spans="24:24" x14ac:dyDescent="0.2">
      <c r="X354" s="88"/>
    </row>
    <row r="355" spans="24:24" x14ac:dyDescent="0.2">
      <c r="X355" s="88"/>
    </row>
    <row r="356" spans="24:24" x14ac:dyDescent="0.2">
      <c r="X356" s="88"/>
    </row>
    <row r="357" spans="24:24" x14ac:dyDescent="0.2">
      <c r="X357" s="88"/>
    </row>
    <row r="358" spans="24:24" x14ac:dyDescent="0.2">
      <c r="X358" s="88"/>
    </row>
    <row r="359" spans="24:24" x14ac:dyDescent="0.2">
      <c r="X359" s="88"/>
    </row>
    <row r="360" spans="24:24" x14ac:dyDescent="0.2">
      <c r="X360" s="88"/>
    </row>
    <row r="361" spans="24:24" x14ac:dyDescent="0.2">
      <c r="X361" s="88"/>
    </row>
    <row r="362" spans="24:24" x14ac:dyDescent="0.2">
      <c r="X362" s="88"/>
    </row>
    <row r="363" spans="24:24" x14ac:dyDescent="0.2">
      <c r="X363" s="88"/>
    </row>
    <row r="364" spans="24:24" x14ac:dyDescent="0.2">
      <c r="X364" s="88"/>
    </row>
    <row r="365" spans="24:24" x14ac:dyDescent="0.2">
      <c r="X365" s="88"/>
    </row>
    <row r="366" spans="24:24" x14ac:dyDescent="0.2">
      <c r="X366" s="88"/>
    </row>
    <row r="367" spans="24:24" x14ac:dyDescent="0.2">
      <c r="X367" s="88"/>
    </row>
    <row r="368" spans="24:24" x14ac:dyDescent="0.2">
      <c r="X368" s="88"/>
    </row>
    <row r="369" spans="24:24" x14ac:dyDescent="0.2">
      <c r="X369" s="88"/>
    </row>
    <row r="370" spans="24:24" x14ac:dyDescent="0.2">
      <c r="X370" s="88"/>
    </row>
    <row r="371" spans="24:24" x14ac:dyDescent="0.2">
      <c r="X371" s="88"/>
    </row>
    <row r="372" spans="24:24" x14ac:dyDescent="0.2">
      <c r="X372" s="88"/>
    </row>
    <row r="373" spans="24:24" x14ac:dyDescent="0.2">
      <c r="X373" s="88"/>
    </row>
    <row r="374" spans="24:24" x14ac:dyDescent="0.2">
      <c r="X374" s="88"/>
    </row>
    <row r="375" spans="24:24" x14ac:dyDescent="0.2">
      <c r="X375" s="88"/>
    </row>
    <row r="376" spans="24:24" x14ac:dyDescent="0.2">
      <c r="X376" s="88"/>
    </row>
    <row r="377" spans="24:24" x14ac:dyDescent="0.2">
      <c r="X377" s="88"/>
    </row>
    <row r="378" spans="24:24" x14ac:dyDescent="0.2">
      <c r="X378" s="88"/>
    </row>
    <row r="379" spans="24:24" x14ac:dyDescent="0.2">
      <c r="X379" s="88"/>
    </row>
    <row r="380" spans="24:24" x14ac:dyDescent="0.2">
      <c r="X380" s="88"/>
    </row>
    <row r="381" spans="24:24" x14ac:dyDescent="0.2">
      <c r="X381" s="88"/>
    </row>
    <row r="382" spans="24:24" x14ac:dyDescent="0.2">
      <c r="X382" s="88"/>
    </row>
    <row r="383" spans="24:24" x14ac:dyDescent="0.2">
      <c r="X383" s="88"/>
    </row>
    <row r="384" spans="24:24" x14ac:dyDescent="0.2">
      <c r="X384" s="88"/>
    </row>
    <row r="385" spans="24:24" x14ac:dyDescent="0.2">
      <c r="X385" s="88"/>
    </row>
    <row r="386" spans="24:24" x14ac:dyDescent="0.2">
      <c r="X386" s="88"/>
    </row>
    <row r="387" spans="24:24" x14ac:dyDescent="0.2">
      <c r="X387" s="88"/>
    </row>
    <row r="388" spans="24:24" x14ac:dyDescent="0.2">
      <c r="X388" s="88"/>
    </row>
    <row r="389" spans="24:24" x14ac:dyDescent="0.2">
      <c r="X389" s="88"/>
    </row>
    <row r="390" spans="24:24" x14ac:dyDescent="0.2">
      <c r="X390" s="88"/>
    </row>
    <row r="391" spans="24:24" x14ac:dyDescent="0.2">
      <c r="X391" s="88"/>
    </row>
    <row r="392" spans="24:24" x14ac:dyDescent="0.2">
      <c r="X392" s="88"/>
    </row>
    <row r="393" spans="24:24" x14ac:dyDescent="0.2">
      <c r="X393" s="88"/>
    </row>
    <row r="394" spans="24:24" x14ac:dyDescent="0.2">
      <c r="X394" s="88"/>
    </row>
    <row r="395" spans="24:24" x14ac:dyDescent="0.2">
      <c r="X395" s="88"/>
    </row>
    <row r="396" spans="24:24" x14ac:dyDescent="0.2">
      <c r="X396" s="88"/>
    </row>
    <row r="397" spans="24:24" x14ac:dyDescent="0.2">
      <c r="X397" s="88"/>
    </row>
    <row r="398" spans="24:24" x14ac:dyDescent="0.2">
      <c r="X398" s="88"/>
    </row>
    <row r="399" spans="24:24" x14ac:dyDescent="0.2">
      <c r="X399" s="88"/>
    </row>
    <row r="400" spans="24:24" x14ac:dyDescent="0.2">
      <c r="X400" s="88"/>
    </row>
    <row r="401" spans="24:24" x14ac:dyDescent="0.2">
      <c r="X401" s="88"/>
    </row>
    <row r="402" spans="24:24" x14ac:dyDescent="0.2">
      <c r="X402" s="88"/>
    </row>
    <row r="403" spans="24:24" x14ac:dyDescent="0.2">
      <c r="X403" s="88"/>
    </row>
    <row r="404" spans="24:24" x14ac:dyDescent="0.2">
      <c r="X404" s="88"/>
    </row>
    <row r="405" spans="24:24" x14ac:dyDescent="0.2">
      <c r="X405" s="88"/>
    </row>
    <row r="406" spans="24:24" x14ac:dyDescent="0.2">
      <c r="X406" s="88"/>
    </row>
    <row r="407" spans="24:24" x14ac:dyDescent="0.2">
      <c r="X407" s="88"/>
    </row>
    <row r="408" spans="24:24" x14ac:dyDescent="0.2">
      <c r="X408" s="88"/>
    </row>
    <row r="409" spans="24:24" x14ac:dyDescent="0.2">
      <c r="X409" s="88"/>
    </row>
    <row r="410" spans="24:24" x14ac:dyDescent="0.2">
      <c r="X410" s="88"/>
    </row>
    <row r="411" spans="24:24" x14ac:dyDescent="0.2">
      <c r="X411" s="88"/>
    </row>
    <row r="412" spans="24:24" x14ac:dyDescent="0.2">
      <c r="X412" s="88"/>
    </row>
    <row r="413" spans="24:24" x14ac:dyDescent="0.2">
      <c r="X413" s="88"/>
    </row>
    <row r="414" spans="24:24" x14ac:dyDescent="0.2">
      <c r="X414" s="88"/>
    </row>
    <row r="415" spans="24:24" x14ac:dyDescent="0.2">
      <c r="X415" s="88"/>
    </row>
    <row r="416" spans="24:24" x14ac:dyDescent="0.2">
      <c r="X416" s="88"/>
    </row>
    <row r="417" spans="24:24" x14ac:dyDescent="0.2">
      <c r="X417" s="88"/>
    </row>
    <row r="418" spans="24:24" x14ac:dyDescent="0.2">
      <c r="X418" s="88"/>
    </row>
    <row r="419" spans="24:24" x14ac:dyDescent="0.2">
      <c r="X419" s="88"/>
    </row>
    <row r="420" spans="24:24" x14ac:dyDescent="0.2">
      <c r="X420" s="88"/>
    </row>
    <row r="421" spans="24:24" x14ac:dyDescent="0.2">
      <c r="X421" s="88"/>
    </row>
    <row r="422" spans="24:24" x14ac:dyDescent="0.2">
      <c r="X422" s="88"/>
    </row>
    <row r="423" spans="24:24" x14ac:dyDescent="0.2">
      <c r="X423" s="88"/>
    </row>
    <row r="424" spans="24:24" x14ac:dyDescent="0.2">
      <c r="X424" s="88"/>
    </row>
    <row r="425" spans="24:24" x14ac:dyDescent="0.2">
      <c r="X425" s="88"/>
    </row>
    <row r="426" spans="24:24" x14ac:dyDescent="0.2">
      <c r="X426" s="88"/>
    </row>
    <row r="427" spans="24:24" x14ac:dyDescent="0.2">
      <c r="X427" s="88"/>
    </row>
    <row r="428" spans="24:24" x14ac:dyDescent="0.2">
      <c r="X428" s="88"/>
    </row>
    <row r="429" spans="24:24" x14ac:dyDescent="0.2">
      <c r="X429" s="88"/>
    </row>
    <row r="430" spans="24:24" x14ac:dyDescent="0.2">
      <c r="X430" s="88"/>
    </row>
    <row r="431" spans="24:24" x14ac:dyDescent="0.2">
      <c r="X431" s="88"/>
    </row>
    <row r="432" spans="24:24" x14ac:dyDescent="0.2">
      <c r="X432" s="88"/>
    </row>
    <row r="433" spans="24:24" x14ac:dyDescent="0.2">
      <c r="X433" s="88"/>
    </row>
    <row r="434" spans="24:24" x14ac:dyDescent="0.2">
      <c r="X434" s="88"/>
    </row>
    <row r="435" spans="24:24" x14ac:dyDescent="0.2">
      <c r="X435" s="88"/>
    </row>
    <row r="436" spans="24:24" x14ac:dyDescent="0.2">
      <c r="X436" s="88"/>
    </row>
    <row r="437" spans="24:24" x14ac:dyDescent="0.2">
      <c r="X437" s="88"/>
    </row>
    <row r="438" spans="24:24" x14ac:dyDescent="0.2">
      <c r="X438" s="88"/>
    </row>
    <row r="439" spans="24:24" x14ac:dyDescent="0.2">
      <c r="X439" s="88"/>
    </row>
    <row r="440" spans="24:24" x14ac:dyDescent="0.2">
      <c r="X440" s="88"/>
    </row>
    <row r="441" spans="24:24" x14ac:dyDescent="0.2">
      <c r="X441" s="88"/>
    </row>
    <row r="442" spans="24:24" x14ac:dyDescent="0.2">
      <c r="X442" s="88"/>
    </row>
    <row r="443" spans="24:24" x14ac:dyDescent="0.2">
      <c r="X443" s="88"/>
    </row>
    <row r="444" spans="24:24" x14ac:dyDescent="0.2">
      <c r="X444" s="88"/>
    </row>
    <row r="445" spans="24:24" x14ac:dyDescent="0.2">
      <c r="X445" s="88"/>
    </row>
    <row r="446" spans="24:24" x14ac:dyDescent="0.2">
      <c r="X446" s="88"/>
    </row>
    <row r="447" spans="24:24" x14ac:dyDescent="0.2">
      <c r="X447" s="88"/>
    </row>
    <row r="448" spans="24:24" x14ac:dyDescent="0.2">
      <c r="X448" s="88"/>
    </row>
    <row r="449" spans="24:24" x14ac:dyDescent="0.2">
      <c r="X449" s="88"/>
    </row>
    <row r="450" spans="24:24" x14ac:dyDescent="0.2">
      <c r="X450" s="88"/>
    </row>
    <row r="451" spans="24:24" x14ac:dyDescent="0.2">
      <c r="X451" s="88"/>
    </row>
    <row r="452" spans="24:24" x14ac:dyDescent="0.2">
      <c r="X452" s="88"/>
    </row>
    <row r="453" spans="24:24" x14ac:dyDescent="0.2">
      <c r="X453" s="88"/>
    </row>
    <row r="454" spans="24:24" x14ac:dyDescent="0.2">
      <c r="X454" s="88"/>
    </row>
    <row r="455" spans="24:24" x14ac:dyDescent="0.2">
      <c r="X455" s="88"/>
    </row>
    <row r="456" spans="24:24" x14ac:dyDescent="0.2">
      <c r="X456" s="88"/>
    </row>
    <row r="457" spans="24:24" x14ac:dyDescent="0.2">
      <c r="X457" s="88"/>
    </row>
    <row r="458" spans="24:24" x14ac:dyDescent="0.2">
      <c r="X458" s="88"/>
    </row>
    <row r="459" spans="24:24" x14ac:dyDescent="0.2">
      <c r="X459" s="88"/>
    </row>
    <row r="460" spans="24:24" x14ac:dyDescent="0.2">
      <c r="X460" s="88"/>
    </row>
    <row r="461" spans="24:24" x14ac:dyDescent="0.2">
      <c r="X461" s="88"/>
    </row>
    <row r="462" spans="24:24" x14ac:dyDescent="0.2">
      <c r="X462" s="88"/>
    </row>
    <row r="463" spans="24:24" x14ac:dyDescent="0.2">
      <c r="X463" s="88"/>
    </row>
    <row r="464" spans="24:24" x14ac:dyDescent="0.2">
      <c r="X464" s="88"/>
    </row>
    <row r="465" spans="24:24" x14ac:dyDescent="0.2">
      <c r="X465" s="88"/>
    </row>
    <row r="466" spans="24:24" x14ac:dyDescent="0.2">
      <c r="X466" s="88"/>
    </row>
    <row r="467" spans="24:24" x14ac:dyDescent="0.2">
      <c r="X467" s="88"/>
    </row>
    <row r="468" spans="24:24" x14ac:dyDescent="0.2">
      <c r="X468" s="88"/>
    </row>
    <row r="469" spans="24:24" x14ac:dyDescent="0.2">
      <c r="X469" s="88"/>
    </row>
    <row r="470" spans="24:24" x14ac:dyDescent="0.2">
      <c r="X470" s="88"/>
    </row>
    <row r="471" spans="24:24" x14ac:dyDescent="0.2">
      <c r="X471" s="88"/>
    </row>
    <row r="472" spans="24:24" x14ac:dyDescent="0.2">
      <c r="X472" s="88"/>
    </row>
    <row r="473" spans="24:24" x14ac:dyDescent="0.2">
      <c r="X473" s="88"/>
    </row>
    <row r="474" spans="24:24" x14ac:dyDescent="0.2">
      <c r="X474" s="88"/>
    </row>
    <row r="475" spans="24:24" x14ac:dyDescent="0.2">
      <c r="X475" s="88"/>
    </row>
    <row r="476" spans="24:24" x14ac:dyDescent="0.2">
      <c r="X476" s="88"/>
    </row>
    <row r="477" spans="24:24" x14ac:dyDescent="0.2">
      <c r="X477" s="88"/>
    </row>
    <row r="478" spans="24:24" x14ac:dyDescent="0.2">
      <c r="X478" s="88"/>
    </row>
    <row r="479" spans="24:24" x14ac:dyDescent="0.2">
      <c r="X479" s="88"/>
    </row>
    <row r="480" spans="24:24" x14ac:dyDescent="0.2">
      <c r="X480" s="88"/>
    </row>
    <row r="481" spans="24:24" x14ac:dyDescent="0.2">
      <c r="X481" s="88"/>
    </row>
    <row r="482" spans="24:24" x14ac:dyDescent="0.2">
      <c r="X482" s="88"/>
    </row>
    <row r="483" spans="24:24" x14ac:dyDescent="0.2">
      <c r="X483" s="88"/>
    </row>
    <row r="484" spans="24:24" x14ac:dyDescent="0.2">
      <c r="X484" s="88"/>
    </row>
    <row r="485" spans="24:24" x14ac:dyDescent="0.2">
      <c r="X485" s="88"/>
    </row>
    <row r="486" spans="24:24" x14ac:dyDescent="0.2">
      <c r="X486" s="88"/>
    </row>
    <row r="487" spans="24:24" x14ac:dyDescent="0.2">
      <c r="X487" s="88"/>
    </row>
    <row r="488" spans="24:24" x14ac:dyDescent="0.2">
      <c r="X488" s="88"/>
    </row>
    <row r="489" spans="24:24" x14ac:dyDescent="0.2">
      <c r="X489" s="88"/>
    </row>
    <row r="490" spans="24:24" x14ac:dyDescent="0.2">
      <c r="X490" s="88"/>
    </row>
    <row r="491" spans="24:24" x14ac:dyDescent="0.2">
      <c r="X491" s="88"/>
    </row>
    <row r="492" spans="24:24" x14ac:dyDescent="0.2">
      <c r="X492" s="88"/>
    </row>
    <row r="493" spans="24:24" x14ac:dyDescent="0.2">
      <c r="X493" s="88"/>
    </row>
    <row r="494" spans="24:24" x14ac:dyDescent="0.2">
      <c r="X494" s="88"/>
    </row>
    <row r="495" spans="24:24" x14ac:dyDescent="0.2">
      <c r="X495" s="88"/>
    </row>
    <row r="496" spans="24:24" x14ac:dyDescent="0.2">
      <c r="X496" s="88"/>
    </row>
    <row r="497" spans="24:24" x14ac:dyDescent="0.2">
      <c r="X497" s="88"/>
    </row>
    <row r="498" spans="24:24" x14ac:dyDescent="0.2">
      <c r="X498" s="88"/>
    </row>
    <row r="499" spans="24:24" x14ac:dyDescent="0.2">
      <c r="X499" s="88"/>
    </row>
    <row r="500" spans="24:24" x14ac:dyDescent="0.2">
      <c r="X500" s="88"/>
    </row>
    <row r="501" spans="24:24" x14ac:dyDescent="0.2">
      <c r="X501" s="88"/>
    </row>
    <row r="502" spans="24:24" x14ac:dyDescent="0.2">
      <c r="X502" s="88"/>
    </row>
    <row r="503" spans="24:24" x14ac:dyDescent="0.2">
      <c r="X503" s="88"/>
    </row>
    <row r="504" spans="24:24" x14ac:dyDescent="0.2">
      <c r="X504" s="88"/>
    </row>
    <row r="505" spans="24:24" x14ac:dyDescent="0.2">
      <c r="X505" s="88"/>
    </row>
    <row r="506" spans="24:24" x14ac:dyDescent="0.2">
      <c r="X506" s="88"/>
    </row>
    <row r="507" spans="24:24" x14ac:dyDescent="0.2">
      <c r="X507" s="88"/>
    </row>
    <row r="508" spans="24:24" x14ac:dyDescent="0.2">
      <c r="X508" s="88"/>
    </row>
    <row r="509" spans="24:24" x14ac:dyDescent="0.2">
      <c r="X509" s="88"/>
    </row>
    <row r="510" spans="24:24" x14ac:dyDescent="0.2">
      <c r="X510" s="88"/>
    </row>
    <row r="511" spans="24:24" x14ac:dyDescent="0.2">
      <c r="X511" s="88"/>
    </row>
    <row r="512" spans="24:24" x14ac:dyDescent="0.2">
      <c r="X512" s="88"/>
    </row>
    <row r="513" spans="24:24" x14ac:dyDescent="0.2">
      <c r="X513" s="88"/>
    </row>
    <row r="514" spans="24:24" x14ac:dyDescent="0.2">
      <c r="X514" s="88"/>
    </row>
    <row r="515" spans="24:24" x14ac:dyDescent="0.2">
      <c r="X515" s="88"/>
    </row>
    <row r="516" spans="24:24" x14ac:dyDescent="0.2">
      <c r="X516" s="88"/>
    </row>
    <row r="517" spans="24:24" x14ac:dyDescent="0.2">
      <c r="X517" s="88"/>
    </row>
    <row r="518" spans="24:24" x14ac:dyDescent="0.2">
      <c r="X518" s="88"/>
    </row>
    <row r="519" spans="24:24" x14ac:dyDescent="0.2">
      <c r="X519" s="88"/>
    </row>
    <row r="520" spans="24:24" x14ac:dyDescent="0.2">
      <c r="X520" s="88"/>
    </row>
    <row r="521" spans="24:24" x14ac:dyDescent="0.2">
      <c r="X521" s="88"/>
    </row>
    <row r="522" spans="24:24" x14ac:dyDescent="0.2">
      <c r="X522" s="88"/>
    </row>
    <row r="523" spans="24:24" x14ac:dyDescent="0.2">
      <c r="X523" s="88"/>
    </row>
    <row r="524" spans="24:24" x14ac:dyDescent="0.2">
      <c r="X524" s="88"/>
    </row>
    <row r="525" spans="24:24" x14ac:dyDescent="0.2">
      <c r="X525" s="88"/>
    </row>
    <row r="526" spans="24:24" x14ac:dyDescent="0.2">
      <c r="X526" s="88"/>
    </row>
    <row r="527" spans="24:24" x14ac:dyDescent="0.2">
      <c r="X527" s="88"/>
    </row>
    <row r="528" spans="24:24" x14ac:dyDescent="0.2">
      <c r="X528" s="88"/>
    </row>
    <row r="529" spans="24:24" x14ac:dyDescent="0.2">
      <c r="X529" s="88"/>
    </row>
    <row r="530" spans="24:24" x14ac:dyDescent="0.2">
      <c r="X530" s="88"/>
    </row>
    <row r="531" spans="24:24" x14ac:dyDescent="0.2">
      <c r="X531" s="88"/>
    </row>
    <row r="532" spans="24:24" x14ac:dyDescent="0.2">
      <c r="X532" s="88"/>
    </row>
    <row r="533" spans="24:24" x14ac:dyDescent="0.2">
      <c r="X533" s="88"/>
    </row>
    <row r="534" spans="24:24" x14ac:dyDescent="0.2">
      <c r="X534" s="88"/>
    </row>
    <row r="535" spans="24:24" x14ac:dyDescent="0.2">
      <c r="X535" s="88"/>
    </row>
    <row r="536" spans="24:24" x14ac:dyDescent="0.2">
      <c r="X536" s="88"/>
    </row>
    <row r="537" spans="24:24" x14ac:dyDescent="0.2">
      <c r="X537" s="88"/>
    </row>
    <row r="538" spans="24:24" x14ac:dyDescent="0.2">
      <c r="X538" s="88"/>
    </row>
    <row r="539" spans="24:24" x14ac:dyDescent="0.2">
      <c r="X539" s="88"/>
    </row>
    <row r="540" spans="24:24" x14ac:dyDescent="0.2">
      <c r="X540" s="88"/>
    </row>
    <row r="541" spans="24:24" x14ac:dyDescent="0.2">
      <c r="X541" s="88"/>
    </row>
    <row r="542" spans="24:24" x14ac:dyDescent="0.2">
      <c r="X542" s="88"/>
    </row>
    <row r="543" spans="24:24" x14ac:dyDescent="0.2">
      <c r="X543" s="88"/>
    </row>
    <row r="544" spans="24:24" x14ac:dyDescent="0.2">
      <c r="X544" s="88"/>
    </row>
    <row r="545" spans="24:24" x14ac:dyDescent="0.2">
      <c r="X545" s="88"/>
    </row>
    <row r="546" spans="24:24" x14ac:dyDescent="0.2">
      <c r="X546" s="88"/>
    </row>
    <row r="547" spans="24:24" x14ac:dyDescent="0.2">
      <c r="X547" s="88"/>
    </row>
    <row r="548" spans="24:24" x14ac:dyDescent="0.2">
      <c r="X548" s="88"/>
    </row>
    <row r="549" spans="24:24" x14ac:dyDescent="0.2">
      <c r="X549" s="88"/>
    </row>
    <row r="550" spans="24:24" x14ac:dyDescent="0.2">
      <c r="X550" s="88"/>
    </row>
    <row r="551" spans="24:24" x14ac:dyDescent="0.2">
      <c r="X551" s="88"/>
    </row>
    <row r="552" spans="24:24" x14ac:dyDescent="0.2">
      <c r="X552" s="88"/>
    </row>
    <row r="553" spans="24:24" x14ac:dyDescent="0.2">
      <c r="X553" s="88"/>
    </row>
    <row r="554" spans="24:24" x14ac:dyDescent="0.2">
      <c r="X554" s="88"/>
    </row>
    <row r="555" spans="24:24" x14ac:dyDescent="0.2">
      <c r="X555" s="88"/>
    </row>
    <row r="556" spans="24:24" x14ac:dyDescent="0.2">
      <c r="X556" s="88"/>
    </row>
    <row r="557" spans="24:24" x14ac:dyDescent="0.2">
      <c r="X557" s="88"/>
    </row>
    <row r="558" spans="24:24" x14ac:dyDescent="0.2">
      <c r="X558" s="88"/>
    </row>
    <row r="559" spans="24:24" x14ac:dyDescent="0.2">
      <c r="X559" s="88"/>
    </row>
    <row r="560" spans="24:24" x14ac:dyDescent="0.2">
      <c r="X560" s="88"/>
    </row>
    <row r="561" spans="24:24" x14ac:dyDescent="0.2">
      <c r="X561" s="88"/>
    </row>
    <row r="562" spans="24:24" x14ac:dyDescent="0.2">
      <c r="X562" s="88"/>
    </row>
    <row r="563" spans="24:24" x14ac:dyDescent="0.2">
      <c r="X563" s="88"/>
    </row>
    <row r="564" spans="24:24" x14ac:dyDescent="0.2">
      <c r="X564" s="88"/>
    </row>
    <row r="565" spans="24:24" x14ac:dyDescent="0.2">
      <c r="X565" s="88"/>
    </row>
    <row r="566" spans="24:24" x14ac:dyDescent="0.2">
      <c r="X566" s="88"/>
    </row>
    <row r="567" spans="24:24" x14ac:dyDescent="0.2">
      <c r="X567" s="88"/>
    </row>
    <row r="568" spans="24:24" x14ac:dyDescent="0.2">
      <c r="X568" s="88"/>
    </row>
    <row r="569" spans="24:24" x14ac:dyDescent="0.2">
      <c r="X569" s="88"/>
    </row>
    <row r="570" spans="24:24" x14ac:dyDescent="0.2">
      <c r="X570" s="88"/>
    </row>
    <row r="571" spans="24:24" x14ac:dyDescent="0.2">
      <c r="X571" s="88"/>
    </row>
    <row r="572" spans="24:24" x14ac:dyDescent="0.2">
      <c r="X572" s="88"/>
    </row>
    <row r="573" spans="24:24" x14ac:dyDescent="0.2">
      <c r="X573" s="88"/>
    </row>
    <row r="574" spans="24:24" x14ac:dyDescent="0.2">
      <c r="X574" s="88"/>
    </row>
    <row r="575" spans="24:24" x14ac:dyDescent="0.2">
      <c r="X575" s="88"/>
    </row>
    <row r="576" spans="24:24" x14ac:dyDescent="0.2">
      <c r="X576" s="88"/>
    </row>
    <row r="577" spans="24:24" x14ac:dyDescent="0.2">
      <c r="X577" s="88"/>
    </row>
    <row r="578" spans="24:24" x14ac:dyDescent="0.2">
      <c r="X578" s="88"/>
    </row>
    <row r="579" spans="24:24" x14ac:dyDescent="0.2">
      <c r="X579" s="88"/>
    </row>
    <row r="580" spans="24:24" x14ac:dyDescent="0.2">
      <c r="X580" s="88"/>
    </row>
    <row r="581" spans="24:24" x14ac:dyDescent="0.2">
      <c r="X581" s="88"/>
    </row>
    <row r="582" spans="24:24" x14ac:dyDescent="0.2">
      <c r="X582" s="88"/>
    </row>
    <row r="583" spans="24:24" x14ac:dyDescent="0.2">
      <c r="X583" s="88"/>
    </row>
    <row r="584" spans="24:24" x14ac:dyDescent="0.2">
      <c r="X584" s="88"/>
    </row>
    <row r="585" spans="24:24" x14ac:dyDescent="0.2">
      <c r="X585" s="88"/>
    </row>
    <row r="586" spans="24:24" x14ac:dyDescent="0.2">
      <c r="X586" s="88"/>
    </row>
    <row r="587" spans="24:24" x14ac:dyDescent="0.2">
      <c r="X587" s="88"/>
    </row>
    <row r="588" spans="24:24" x14ac:dyDescent="0.2">
      <c r="X588" s="88"/>
    </row>
    <row r="589" spans="24:24" x14ac:dyDescent="0.2">
      <c r="X589" s="88"/>
    </row>
    <row r="590" spans="24:24" x14ac:dyDescent="0.2">
      <c r="X590" s="88"/>
    </row>
    <row r="591" spans="24:24" x14ac:dyDescent="0.2">
      <c r="X591" s="88"/>
    </row>
    <row r="592" spans="24:24" x14ac:dyDescent="0.2">
      <c r="X592" s="88"/>
    </row>
    <row r="593" spans="24:24" x14ac:dyDescent="0.2">
      <c r="X593" s="88"/>
    </row>
    <row r="594" spans="24:24" x14ac:dyDescent="0.2">
      <c r="X594" s="88"/>
    </row>
    <row r="595" spans="24:24" x14ac:dyDescent="0.2">
      <c r="X595" s="88"/>
    </row>
    <row r="596" spans="24:24" x14ac:dyDescent="0.2">
      <c r="X596" s="88"/>
    </row>
    <row r="597" spans="24:24" x14ac:dyDescent="0.2">
      <c r="X597" s="88"/>
    </row>
    <row r="598" spans="24:24" x14ac:dyDescent="0.2">
      <c r="X598" s="88"/>
    </row>
    <row r="599" spans="24:24" x14ac:dyDescent="0.2">
      <c r="X599" s="88"/>
    </row>
    <row r="600" spans="24:24" x14ac:dyDescent="0.2">
      <c r="X600" s="88"/>
    </row>
    <row r="601" spans="24:24" x14ac:dyDescent="0.2">
      <c r="X601" s="88"/>
    </row>
    <row r="602" spans="24:24" x14ac:dyDescent="0.2">
      <c r="X602" s="88"/>
    </row>
    <row r="603" spans="24:24" x14ac:dyDescent="0.2">
      <c r="X603" s="88"/>
    </row>
    <row r="604" spans="24:24" x14ac:dyDescent="0.2">
      <c r="X604" s="88"/>
    </row>
    <row r="605" spans="24:24" x14ac:dyDescent="0.2">
      <c r="X605" s="88"/>
    </row>
    <row r="606" spans="24:24" x14ac:dyDescent="0.2">
      <c r="X606" s="88"/>
    </row>
    <row r="607" spans="24:24" x14ac:dyDescent="0.2">
      <c r="X607" s="88"/>
    </row>
    <row r="608" spans="24:24" x14ac:dyDescent="0.2">
      <c r="X608" s="88"/>
    </row>
    <row r="609" spans="24:24" x14ac:dyDescent="0.2">
      <c r="X609" s="88"/>
    </row>
    <row r="610" spans="24:24" x14ac:dyDescent="0.2">
      <c r="X610" s="88"/>
    </row>
    <row r="611" spans="24:24" x14ac:dyDescent="0.2">
      <c r="X611" s="88"/>
    </row>
    <row r="612" spans="24:24" x14ac:dyDescent="0.2">
      <c r="X612" s="88"/>
    </row>
    <row r="613" spans="24:24" x14ac:dyDescent="0.2">
      <c r="X613" s="88"/>
    </row>
    <row r="614" spans="24:24" x14ac:dyDescent="0.2">
      <c r="X614" s="88"/>
    </row>
    <row r="615" spans="24:24" x14ac:dyDescent="0.2">
      <c r="X615" s="88"/>
    </row>
    <row r="616" spans="24:24" x14ac:dyDescent="0.2">
      <c r="X616" s="88"/>
    </row>
    <row r="617" spans="24:24" x14ac:dyDescent="0.2">
      <c r="X617" s="88"/>
    </row>
    <row r="618" spans="24:24" x14ac:dyDescent="0.2">
      <c r="X618" s="88"/>
    </row>
    <row r="619" spans="24:24" x14ac:dyDescent="0.2">
      <c r="X619" s="88"/>
    </row>
    <row r="620" spans="24:24" x14ac:dyDescent="0.2">
      <c r="X620" s="88"/>
    </row>
    <row r="621" spans="24:24" x14ac:dyDescent="0.2">
      <c r="X621" s="88"/>
    </row>
    <row r="622" spans="24:24" x14ac:dyDescent="0.2">
      <c r="X622" s="88"/>
    </row>
    <row r="623" spans="24:24" x14ac:dyDescent="0.2">
      <c r="X623" s="88"/>
    </row>
    <row r="624" spans="24:24" x14ac:dyDescent="0.2">
      <c r="X624" s="88"/>
    </row>
    <row r="625" spans="24:24" x14ac:dyDescent="0.2">
      <c r="X625" s="88"/>
    </row>
    <row r="626" spans="24:24" x14ac:dyDescent="0.2">
      <c r="X626" s="88"/>
    </row>
    <row r="627" spans="24:24" x14ac:dyDescent="0.2">
      <c r="X627" s="88"/>
    </row>
    <row r="628" spans="24:24" x14ac:dyDescent="0.2">
      <c r="X628" s="88"/>
    </row>
    <row r="629" spans="24:24" x14ac:dyDescent="0.2">
      <c r="X629" s="88"/>
    </row>
    <row r="630" spans="24:24" x14ac:dyDescent="0.2">
      <c r="X630" s="88"/>
    </row>
    <row r="631" spans="24:24" x14ac:dyDescent="0.2">
      <c r="X631" s="88"/>
    </row>
    <row r="632" spans="24:24" x14ac:dyDescent="0.2">
      <c r="X632" s="88"/>
    </row>
    <row r="633" spans="24:24" x14ac:dyDescent="0.2">
      <c r="X633" s="88"/>
    </row>
    <row r="634" spans="24:24" x14ac:dyDescent="0.2">
      <c r="X634" s="88"/>
    </row>
    <row r="635" spans="24:24" x14ac:dyDescent="0.2">
      <c r="X635" s="88"/>
    </row>
    <row r="636" spans="24:24" x14ac:dyDescent="0.2">
      <c r="X636" s="88"/>
    </row>
    <row r="637" spans="24:24" x14ac:dyDescent="0.2">
      <c r="X637" s="88"/>
    </row>
    <row r="638" spans="24:24" x14ac:dyDescent="0.2">
      <c r="X638" s="88"/>
    </row>
    <row r="639" spans="24:24" x14ac:dyDescent="0.2">
      <c r="X639" s="88"/>
    </row>
    <row r="640" spans="24:24" x14ac:dyDescent="0.2">
      <c r="X640" s="88"/>
    </row>
    <row r="641" spans="24:24" x14ac:dyDescent="0.2">
      <c r="X641" s="88"/>
    </row>
    <row r="642" spans="24:24" x14ac:dyDescent="0.2">
      <c r="X642" s="88"/>
    </row>
    <row r="643" spans="24:24" x14ac:dyDescent="0.2">
      <c r="X643" s="88"/>
    </row>
    <row r="644" spans="24:24" x14ac:dyDescent="0.2">
      <c r="X644" s="88"/>
    </row>
    <row r="645" spans="24:24" x14ac:dyDescent="0.2">
      <c r="X645" s="88"/>
    </row>
    <row r="646" spans="24:24" x14ac:dyDescent="0.2">
      <c r="X646" s="88"/>
    </row>
    <row r="647" spans="24:24" x14ac:dyDescent="0.2">
      <c r="X647" s="88"/>
    </row>
    <row r="648" spans="24:24" x14ac:dyDescent="0.2">
      <c r="X648" s="88"/>
    </row>
    <row r="649" spans="24:24" x14ac:dyDescent="0.2">
      <c r="X649" s="88"/>
    </row>
    <row r="650" spans="24:24" x14ac:dyDescent="0.2">
      <c r="X650" s="88"/>
    </row>
    <row r="651" spans="24:24" x14ac:dyDescent="0.2">
      <c r="X651" s="88"/>
    </row>
    <row r="652" spans="24:24" x14ac:dyDescent="0.2">
      <c r="X652" s="88"/>
    </row>
    <row r="653" spans="24:24" x14ac:dyDescent="0.2">
      <c r="X653" s="88"/>
    </row>
    <row r="654" spans="24:24" x14ac:dyDescent="0.2">
      <c r="X654" s="88"/>
    </row>
    <row r="655" spans="24:24" x14ac:dyDescent="0.2">
      <c r="X655" s="88"/>
    </row>
    <row r="656" spans="24:24" x14ac:dyDescent="0.2">
      <c r="X656" s="88"/>
    </row>
    <row r="657" spans="24:24" x14ac:dyDescent="0.2">
      <c r="X657" s="88"/>
    </row>
    <row r="658" spans="24:24" x14ac:dyDescent="0.2">
      <c r="X658" s="88"/>
    </row>
    <row r="659" spans="24:24" x14ac:dyDescent="0.2">
      <c r="X659" s="88"/>
    </row>
    <row r="660" spans="24:24" x14ac:dyDescent="0.2">
      <c r="X660" s="88"/>
    </row>
    <row r="661" spans="24:24" x14ac:dyDescent="0.2">
      <c r="X661" s="88"/>
    </row>
    <row r="662" spans="24:24" x14ac:dyDescent="0.2">
      <c r="X662" s="88"/>
    </row>
    <row r="663" spans="24:24" x14ac:dyDescent="0.2">
      <c r="X663" s="88"/>
    </row>
    <row r="664" spans="24:24" x14ac:dyDescent="0.2">
      <c r="X664" s="88"/>
    </row>
    <row r="665" spans="24:24" x14ac:dyDescent="0.2">
      <c r="X665" s="88"/>
    </row>
    <row r="666" spans="24:24" x14ac:dyDescent="0.2">
      <c r="X666" s="88"/>
    </row>
    <row r="667" spans="24:24" x14ac:dyDescent="0.2">
      <c r="X667" s="88"/>
    </row>
    <row r="668" spans="24:24" x14ac:dyDescent="0.2">
      <c r="X668" s="88"/>
    </row>
    <row r="669" spans="24:24" x14ac:dyDescent="0.2">
      <c r="X669" s="88"/>
    </row>
    <row r="670" spans="24:24" x14ac:dyDescent="0.2">
      <c r="X670" s="88"/>
    </row>
    <row r="671" spans="24:24" x14ac:dyDescent="0.2">
      <c r="X671" s="88"/>
    </row>
    <row r="672" spans="24:24" x14ac:dyDescent="0.2">
      <c r="X672" s="88"/>
    </row>
    <row r="673" spans="24:24" x14ac:dyDescent="0.2">
      <c r="X673" s="88"/>
    </row>
    <row r="674" spans="24:24" x14ac:dyDescent="0.2">
      <c r="X674" s="88"/>
    </row>
    <row r="675" spans="24:24" x14ac:dyDescent="0.2">
      <c r="X675" s="88"/>
    </row>
    <row r="676" spans="24:24" x14ac:dyDescent="0.2">
      <c r="X676" s="88"/>
    </row>
    <row r="677" spans="24:24" x14ac:dyDescent="0.2">
      <c r="X677" s="88"/>
    </row>
    <row r="678" spans="24:24" x14ac:dyDescent="0.2">
      <c r="X678" s="88"/>
    </row>
    <row r="679" spans="24:24" x14ac:dyDescent="0.2">
      <c r="X679" s="88"/>
    </row>
    <row r="680" spans="24:24" x14ac:dyDescent="0.2">
      <c r="X680" s="88"/>
    </row>
    <row r="681" spans="24:24" x14ac:dyDescent="0.2">
      <c r="X681" s="88"/>
    </row>
    <row r="682" spans="24:24" x14ac:dyDescent="0.2">
      <c r="X682" s="88"/>
    </row>
    <row r="683" spans="24:24" x14ac:dyDescent="0.2">
      <c r="X683" s="88"/>
    </row>
    <row r="684" spans="24:24" x14ac:dyDescent="0.2">
      <c r="X684" s="88"/>
    </row>
    <row r="685" spans="24:24" x14ac:dyDescent="0.2">
      <c r="X685" s="88"/>
    </row>
    <row r="686" spans="24:24" x14ac:dyDescent="0.2">
      <c r="X686" s="88"/>
    </row>
    <row r="687" spans="24:24" x14ac:dyDescent="0.2">
      <c r="X687" s="88"/>
    </row>
    <row r="688" spans="24:24" x14ac:dyDescent="0.2">
      <c r="X688" s="88"/>
    </row>
    <row r="689" spans="24:24" x14ac:dyDescent="0.2">
      <c r="X689" s="88"/>
    </row>
    <row r="690" spans="24:24" x14ac:dyDescent="0.2">
      <c r="X690" s="88"/>
    </row>
    <row r="691" spans="24:24" x14ac:dyDescent="0.2">
      <c r="X691" s="88"/>
    </row>
    <row r="692" spans="24:24" x14ac:dyDescent="0.2">
      <c r="X692" s="88"/>
    </row>
    <row r="693" spans="24:24" x14ac:dyDescent="0.2">
      <c r="X693" s="88"/>
    </row>
    <row r="694" spans="24:24" x14ac:dyDescent="0.2">
      <c r="X694" s="88"/>
    </row>
    <row r="695" spans="24:24" x14ac:dyDescent="0.2">
      <c r="X695" s="88"/>
    </row>
    <row r="696" spans="24:24" x14ac:dyDescent="0.2">
      <c r="X696" s="88"/>
    </row>
    <row r="697" spans="24:24" x14ac:dyDescent="0.2">
      <c r="X697" s="88"/>
    </row>
    <row r="698" spans="24:24" x14ac:dyDescent="0.2">
      <c r="X698" s="88"/>
    </row>
    <row r="699" spans="24:24" x14ac:dyDescent="0.2">
      <c r="X699" s="88"/>
    </row>
    <row r="700" spans="24:24" x14ac:dyDescent="0.2">
      <c r="X700" s="88"/>
    </row>
    <row r="701" spans="24:24" x14ac:dyDescent="0.2">
      <c r="X701" s="88"/>
    </row>
    <row r="702" spans="24:24" x14ac:dyDescent="0.2">
      <c r="X702" s="88"/>
    </row>
    <row r="703" spans="24:24" x14ac:dyDescent="0.2">
      <c r="X703" s="88"/>
    </row>
    <row r="704" spans="24:24" x14ac:dyDescent="0.2">
      <c r="X704" s="88"/>
    </row>
    <row r="705" spans="24:24" x14ac:dyDescent="0.2">
      <c r="X705" s="88"/>
    </row>
    <row r="706" spans="24:24" x14ac:dyDescent="0.2">
      <c r="X706" s="88"/>
    </row>
    <row r="707" spans="24:24" x14ac:dyDescent="0.2">
      <c r="X707" s="88"/>
    </row>
    <row r="708" spans="24:24" x14ac:dyDescent="0.2">
      <c r="X708" s="88"/>
    </row>
    <row r="709" spans="24:24" x14ac:dyDescent="0.2">
      <c r="X709" s="88"/>
    </row>
    <row r="710" spans="24:24" x14ac:dyDescent="0.2">
      <c r="X710" s="88"/>
    </row>
    <row r="711" spans="24:24" x14ac:dyDescent="0.2">
      <c r="X711" s="88"/>
    </row>
    <row r="712" spans="24:24" x14ac:dyDescent="0.2">
      <c r="X712" s="88"/>
    </row>
    <row r="713" spans="24:24" x14ac:dyDescent="0.2">
      <c r="X713" s="88"/>
    </row>
    <row r="714" spans="24:24" x14ac:dyDescent="0.2">
      <c r="X714" s="88"/>
    </row>
    <row r="715" spans="24:24" x14ac:dyDescent="0.2">
      <c r="X715" s="88"/>
    </row>
    <row r="716" spans="24:24" x14ac:dyDescent="0.2">
      <c r="X716" s="88"/>
    </row>
    <row r="717" spans="24:24" x14ac:dyDescent="0.2">
      <c r="X717" s="88"/>
    </row>
    <row r="718" spans="24:24" x14ac:dyDescent="0.2">
      <c r="X718" s="88"/>
    </row>
    <row r="719" spans="24:24" x14ac:dyDescent="0.2">
      <c r="X719" s="88"/>
    </row>
    <row r="720" spans="24:24" x14ac:dyDescent="0.2">
      <c r="X720" s="88"/>
    </row>
    <row r="721" spans="24:24" x14ac:dyDescent="0.2">
      <c r="X721" s="88"/>
    </row>
    <row r="722" spans="24:24" x14ac:dyDescent="0.2">
      <c r="X722" s="88"/>
    </row>
    <row r="723" spans="24:24" x14ac:dyDescent="0.2">
      <c r="X723" s="88"/>
    </row>
    <row r="724" spans="24:24" x14ac:dyDescent="0.2">
      <c r="X724" s="88"/>
    </row>
    <row r="725" spans="24:24" x14ac:dyDescent="0.2">
      <c r="X725" s="88"/>
    </row>
    <row r="726" spans="24:24" x14ac:dyDescent="0.2">
      <c r="X726" s="88"/>
    </row>
    <row r="727" spans="24:24" x14ac:dyDescent="0.2">
      <c r="X727" s="88"/>
    </row>
    <row r="728" spans="24:24" x14ac:dyDescent="0.2">
      <c r="X728" s="88"/>
    </row>
    <row r="729" spans="24:24" x14ac:dyDescent="0.2">
      <c r="X729" s="88"/>
    </row>
    <row r="730" spans="24:24" x14ac:dyDescent="0.2">
      <c r="X730" s="88"/>
    </row>
    <row r="731" spans="24:24" x14ac:dyDescent="0.2">
      <c r="X731" s="88"/>
    </row>
    <row r="732" spans="24:24" x14ac:dyDescent="0.2">
      <c r="X732" s="88"/>
    </row>
    <row r="733" spans="24:24" x14ac:dyDescent="0.2">
      <c r="X733" s="88"/>
    </row>
    <row r="734" spans="24:24" x14ac:dyDescent="0.2">
      <c r="X734" s="88"/>
    </row>
    <row r="735" spans="24:24" x14ac:dyDescent="0.2">
      <c r="X735" s="88"/>
    </row>
    <row r="736" spans="24:24" x14ac:dyDescent="0.2">
      <c r="X736" s="88"/>
    </row>
    <row r="737" spans="24:24" x14ac:dyDescent="0.2">
      <c r="X737" s="88"/>
    </row>
    <row r="738" spans="24:24" x14ac:dyDescent="0.2">
      <c r="X738" s="88"/>
    </row>
    <row r="739" spans="24:24" x14ac:dyDescent="0.2">
      <c r="X739" s="88"/>
    </row>
    <row r="740" spans="24:24" x14ac:dyDescent="0.2">
      <c r="X740" s="88"/>
    </row>
    <row r="741" spans="24:24" x14ac:dyDescent="0.2">
      <c r="X741" s="88"/>
    </row>
    <row r="742" spans="24:24" x14ac:dyDescent="0.2">
      <c r="X742" s="88"/>
    </row>
    <row r="743" spans="24:24" x14ac:dyDescent="0.2">
      <c r="X743" s="88"/>
    </row>
    <row r="744" spans="24:24" x14ac:dyDescent="0.2">
      <c r="X744" s="88"/>
    </row>
    <row r="745" spans="24:24" x14ac:dyDescent="0.2">
      <c r="X745" s="88"/>
    </row>
    <row r="746" spans="24:24" x14ac:dyDescent="0.2">
      <c r="X746" s="88"/>
    </row>
    <row r="747" spans="24:24" x14ac:dyDescent="0.2">
      <c r="X747" s="88"/>
    </row>
    <row r="748" spans="24:24" x14ac:dyDescent="0.2">
      <c r="X748" s="88"/>
    </row>
    <row r="749" spans="24:24" x14ac:dyDescent="0.2">
      <c r="X749" s="88"/>
    </row>
    <row r="750" spans="24:24" x14ac:dyDescent="0.2">
      <c r="X750" s="88"/>
    </row>
    <row r="751" spans="24:24" x14ac:dyDescent="0.2">
      <c r="X751" s="88"/>
    </row>
    <row r="752" spans="24:24" x14ac:dyDescent="0.2">
      <c r="X752" s="88"/>
    </row>
    <row r="753" spans="24:24" x14ac:dyDescent="0.2">
      <c r="X753" s="88"/>
    </row>
    <row r="754" spans="24:24" x14ac:dyDescent="0.2">
      <c r="X754" s="88"/>
    </row>
    <row r="755" spans="24:24" x14ac:dyDescent="0.2">
      <c r="X755" s="88"/>
    </row>
    <row r="756" spans="24:24" x14ac:dyDescent="0.2">
      <c r="X756" s="88"/>
    </row>
    <row r="757" spans="24:24" x14ac:dyDescent="0.2">
      <c r="X757" s="88"/>
    </row>
    <row r="758" spans="24:24" x14ac:dyDescent="0.2">
      <c r="X758" s="88"/>
    </row>
    <row r="759" spans="24:24" x14ac:dyDescent="0.2">
      <c r="X759" s="88"/>
    </row>
    <row r="760" spans="24:24" x14ac:dyDescent="0.2">
      <c r="X760" s="88"/>
    </row>
    <row r="761" spans="24:24" x14ac:dyDescent="0.2">
      <c r="X761" s="88"/>
    </row>
    <row r="762" spans="24:24" x14ac:dyDescent="0.2">
      <c r="X762" s="88"/>
    </row>
    <row r="763" spans="24:24" x14ac:dyDescent="0.2">
      <c r="X763" s="88"/>
    </row>
    <row r="764" spans="24:24" x14ac:dyDescent="0.2">
      <c r="X764" s="88"/>
    </row>
    <row r="765" spans="24:24" x14ac:dyDescent="0.2">
      <c r="X765" s="88"/>
    </row>
    <row r="766" spans="24:24" x14ac:dyDescent="0.2">
      <c r="X766" s="88"/>
    </row>
    <row r="767" spans="24:24" x14ac:dyDescent="0.2">
      <c r="X767" s="88"/>
    </row>
    <row r="768" spans="24:24" x14ac:dyDescent="0.2">
      <c r="X768" s="88"/>
    </row>
    <row r="769" spans="24:24" x14ac:dyDescent="0.2">
      <c r="X769" s="88"/>
    </row>
    <row r="770" spans="24:24" x14ac:dyDescent="0.2">
      <c r="X770" s="88"/>
    </row>
    <row r="771" spans="24:24" x14ac:dyDescent="0.2">
      <c r="X771" s="88"/>
    </row>
    <row r="772" spans="24:24" x14ac:dyDescent="0.2">
      <c r="X772" s="88"/>
    </row>
    <row r="773" spans="24:24" x14ac:dyDescent="0.2">
      <c r="X773" s="88"/>
    </row>
    <row r="774" spans="24:24" x14ac:dyDescent="0.2">
      <c r="X774" s="88"/>
    </row>
    <row r="775" spans="24:24" x14ac:dyDescent="0.2">
      <c r="X775" s="88"/>
    </row>
    <row r="776" spans="24:24" x14ac:dyDescent="0.2">
      <c r="X776" s="88"/>
    </row>
    <row r="777" spans="24:24" x14ac:dyDescent="0.2">
      <c r="X777" s="88"/>
    </row>
    <row r="778" spans="24:24" x14ac:dyDescent="0.2">
      <c r="X778" s="88"/>
    </row>
    <row r="779" spans="24:24" x14ac:dyDescent="0.2">
      <c r="X779" s="88"/>
    </row>
    <row r="780" spans="24:24" x14ac:dyDescent="0.2">
      <c r="X780" s="88"/>
    </row>
    <row r="781" spans="24:24" x14ac:dyDescent="0.2">
      <c r="X781" s="88"/>
    </row>
    <row r="782" spans="24:24" x14ac:dyDescent="0.2">
      <c r="X782" s="88"/>
    </row>
    <row r="783" spans="24:24" x14ac:dyDescent="0.2">
      <c r="X783" s="88"/>
    </row>
    <row r="784" spans="24:24" x14ac:dyDescent="0.2">
      <c r="X784" s="88"/>
    </row>
    <row r="785" spans="24:24" x14ac:dyDescent="0.2">
      <c r="X785" s="88"/>
    </row>
    <row r="786" spans="24:24" x14ac:dyDescent="0.2">
      <c r="X786" s="88"/>
    </row>
    <row r="787" spans="24:24" x14ac:dyDescent="0.2">
      <c r="X787" s="88"/>
    </row>
    <row r="788" spans="24:24" x14ac:dyDescent="0.2">
      <c r="X788" s="88"/>
    </row>
    <row r="789" spans="24:24" x14ac:dyDescent="0.2">
      <c r="X789" s="88"/>
    </row>
    <row r="790" spans="24:24" x14ac:dyDescent="0.2">
      <c r="X790" s="88"/>
    </row>
    <row r="791" spans="24:24" x14ac:dyDescent="0.2">
      <c r="X791" s="88"/>
    </row>
    <row r="792" spans="24:24" x14ac:dyDescent="0.2">
      <c r="X792" s="88"/>
    </row>
    <row r="793" spans="24:24" x14ac:dyDescent="0.2">
      <c r="X793" s="88"/>
    </row>
    <row r="794" spans="24:24" x14ac:dyDescent="0.2">
      <c r="X794" s="88"/>
    </row>
    <row r="795" spans="24:24" x14ac:dyDescent="0.2">
      <c r="X795" s="88"/>
    </row>
    <row r="796" spans="24:24" x14ac:dyDescent="0.2">
      <c r="X796" s="88"/>
    </row>
    <row r="797" spans="24:24" x14ac:dyDescent="0.2">
      <c r="X797" s="88"/>
    </row>
    <row r="798" spans="24:24" x14ac:dyDescent="0.2">
      <c r="X798" s="88"/>
    </row>
    <row r="799" spans="24:24" x14ac:dyDescent="0.2">
      <c r="X799" s="88"/>
    </row>
    <row r="800" spans="24:24" x14ac:dyDescent="0.2">
      <c r="X800" s="88"/>
    </row>
    <row r="801" spans="24:24" x14ac:dyDescent="0.2">
      <c r="X801" s="88"/>
    </row>
    <row r="802" spans="24:24" x14ac:dyDescent="0.2">
      <c r="X802" s="88"/>
    </row>
    <row r="803" spans="24:24" x14ac:dyDescent="0.2">
      <c r="X803" s="88"/>
    </row>
    <row r="804" spans="24:24" x14ac:dyDescent="0.2">
      <c r="X804" s="88"/>
    </row>
    <row r="805" spans="24:24" x14ac:dyDescent="0.2">
      <c r="X805" s="88"/>
    </row>
    <row r="806" spans="24:24" x14ac:dyDescent="0.2">
      <c r="X806" s="88"/>
    </row>
    <row r="807" spans="24:24" x14ac:dyDescent="0.2">
      <c r="X807" s="88"/>
    </row>
    <row r="808" spans="24:24" x14ac:dyDescent="0.2">
      <c r="X808" s="88"/>
    </row>
    <row r="809" spans="24:24" x14ac:dyDescent="0.2">
      <c r="X809" s="88"/>
    </row>
    <row r="810" spans="24:24" x14ac:dyDescent="0.2">
      <c r="X810" s="88"/>
    </row>
    <row r="811" spans="24:24" x14ac:dyDescent="0.2">
      <c r="X811" s="88"/>
    </row>
    <row r="812" spans="24:24" x14ac:dyDescent="0.2">
      <c r="X812" s="88"/>
    </row>
    <row r="813" spans="24:24" x14ac:dyDescent="0.2">
      <c r="X813" s="88"/>
    </row>
    <row r="814" spans="24:24" x14ac:dyDescent="0.2">
      <c r="X814" s="88"/>
    </row>
    <row r="815" spans="24:24" x14ac:dyDescent="0.2">
      <c r="X815" s="88"/>
    </row>
    <row r="816" spans="24:24" x14ac:dyDescent="0.2">
      <c r="X816" s="88"/>
    </row>
    <row r="817" spans="24:24" x14ac:dyDescent="0.2">
      <c r="X817" s="88"/>
    </row>
    <row r="818" spans="24:24" x14ac:dyDescent="0.2">
      <c r="X818" s="88"/>
    </row>
    <row r="819" spans="24:24" x14ac:dyDescent="0.2">
      <c r="X819" s="88"/>
    </row>
    <row r="820" spans="24:24" x14ac:dyDescent="0.2">
      <c r="X820" s="88"/>
    </row>
    <row r="821" spans="24:24" x14ac:dyDescent="0.2">
      <c r="X821" s="88"/>
    </row>
    <row r="822" spans="24:24" x14ac:dyDescent="0.2">
      <c r="X822" s="88"/>
    </row>
    <row r="823" spans="24:24" x14ac:dyDescent="0.2">
      <c r="X823" s="88"/>
    </row>
    <row r="824" spans="24:24" x14ac:dyDescent="0.2">
      <c r="X824" s="88"/>
    </row>
    <row r="825" spans="24:24" x14ac:dyDescent="0.2">
      <c r="X825" s="88"/>
    </row>
    <row r="826" spans="24:24" x14ac:dyDescent="0.2">
      <c r="X826" s="88"/>
    </row>
    <row r="827" spans="24:24" x14ac:dyDescent="0.2">
      <c r="X827" s="88"/>
    </row>
    <row r="828" spans="24:24" x14ac:dyDescent="0.2">
      <c r="X828" s="88"/>
    </row>
    <row r="829" spans="24:24" x14ac:dyDescent="0.2">
      <c r="X829" s="88"/>
    </row>
    <row r="830" spans="24:24" x14ac:dyDescent="0.2">
      <c r="X830" s="88"/>
    </row>
    <row r="831" spans="24:24" x14ac:dyDescent="0.2">
      <c r="X831" s="88"/>
    </row>
    <row r="832" spans="24:24" x14ac:dyDescent="0.2">
      <c r="X832" s="88"/>
    </row>
    <row r="833" spans="24:24" x14ac:dyDescent="0.2">
      <c r="X833" s="88"/>
    </row>
    <row r="834" spans="24:24" x14ac:dyDescent="0.2">
      <c r="X834" s="88"/>
    </row>
    <row r="835" spans="24:24" x14ac:dyDescent="0.2">
      <c r="X835" s="88"/>
    </row>
    <row r="836" spans="24:24" x14ac:dyDescent="0.2">
      <c r="X836" s="88"/>
    </row>
    <row r="837" spans="24:24" x14ac:dyDescent="0.2">
      <c r="X837" s="88"/>
    </row>
    <row r="838" spans="24:24" x14ac:dyDescent="0.2">
      <c r="X838" s="88"/>
    </row>
    <row r="839" spans="24:24" x14ac:dyDescent="0.2">
      <c r="X839" s="88"/>
    </row>
    <row r="840" spans="24:24" x14ac:dyDescent="0.2">
      <c r="X840" s="88"/>
    </row>
    <row r="841" spans="24:24" x14ac:dyDescent="0.2">
      <c r="X841" s="88"/>
    </row>
    <row r="842" spans="24:24" x14ac:dyDescent="0.2">
      <c r="X842" s="88"/>
    </row>
    <row r="843" spans="24:24" x14ac:dyDescent="0.2">
      <c r="X843" s="88"/>
    </row>
    <row r="844" spans="24:24" x14ac:dyDescent="0.2">
      <c r="X844" s="88"/>
    </row>
    <row r="845" spans="24:24" x14ac:dyDescent="0.2">
      <c r="X845" s="88"/>
    </row>
    <row r="846" spans="24:24" x14ac:dyDescent="0.2">
      <c r="X846" s="88"/>
    </row>
    <row r="847" spans="24:24" x14ac:dyDescent="0.2">
      <c r="X847" s="88"/>
    </row>
    <row r="848" spans="24:24" x14ac:dyDescent="0.2">
      <c r="X848" s="88"/>
    </row>
    <row r="849" spans="24:24" x14ac:dyDescent="0.2">
      <c r="X849" s="88"/>
    </row>
    <row r="850" spans="24:24" x14ac:dyDescent="0.2">
      <c r="X850" s="88"/>
    </row>
    <row r="851" spans="24:24" x14ac:dyDescent="0.2">
      <c r="X851" s="88"/>
    </row>
    <row r="852" spans="24:24" x14ac:dyDescent="0.2">
      <c r="X852" s="88"/>
    </row>
    <row r="853" spans="24:24" x14ac:dyDescent="0.2">
      <c r="X853" s="88"/>
    </row>
    <row r="854" spans="24:24" x14ac:dyDescent="0.2">
      <c r="X854" s="88"/>
    </row>
    <row r="855" spans="24:24" x14ac:dyDescent="0.2">
      <c r="X855" s="88"/>
    </row>
    <row r="856" spans="24:24" x14ac:dyDescent="0.2">
      <c r="X856" s="88"/>
    </row>
    <row r="857" spans="24:24" x14ac:dyDescent="0.2">
      <c r="X857" s="88"/>
    </row>
    <row r="858" spans="24:24" x14ac:dyDescent="0.2">
      <c r="X858" s="88"/>
    </row>
    <row r="859" spans="24:24" x14ac:dyDescent="0.2">
      <c r="X859" s="88"/>
    </row>
    <row r="860" spans="24:24" x14ac:dyDescent="0.2">
      <c r="X860" s="88"/>
    </row>
    <row r="861" spans="24:24" x14ac:dyDescent="0.2">
      <c r="X861" s="88"/>
    </row>
    <row r="862" spans="24:24" x14ac:dyDescent="0.2">
      <c r="X862" s="88"/>
    </row>
    <row r="863" spans="24:24" x14ac:dyDescent="0.2">
      <c r="X863" s="88"/>
    </row>
    <row r="864" spans="24:24" x14ac:dyDescent="0.2">
      <c r="X864" s="88"/>
    </row>
    <row r="865" spans="24:24" x14ac:dyDescent="0.2">
      <c r="X865" s="88"/>
    </row>
    <row r="866" spans="24:24" x14ac:dyDescent="0.2">
      <c r="X866" s="88"/>
    </row>
    <row r="867" spans="24:24" x14ac:dyDescent="0.2">
      <c r="X867" s="88"/>
    </row>
    <row r="868" spans="24:24" x14ac:dyDescent="0.2">
      <c r="X868" s="88"/>
    </row>
    <row r="869" spans="24:24" x14ac:dyDescent="0.2">
      <c r="X869" s="88"/>
    </row>
    <row r="870" spans="24:24" x14ac:dyDescent="0.2">
      <c r="X870" s="88"/>
    </row>
    <row r="871" spans="24:24" x14ac:dyDescent="0.2">
      <c r="X871" s="88"/>
    </row>
    <row r="872" spans="24:24" x14ac:dyDescent="0.2">
      <c r="X872" s="88"/>
    </row>
    <row r="873" spans="24:24" x14ac:dyDescent="0.2">
      <c r="X873" s="88"/>
    </row>
    <row r="874" spans="24:24" x14ac:dyDescent="0.2">
      <c r="X874" s="88"/>
    </row>
    <row r="875" spans="24:24" x14ac:dyDescent="0.2">
      <c r="X875" s="88"/>
    </row>
    <row r="876" spans="24:24" x14ac:dyDescent="0.2">
      <c r="X876" s="88"/>
    </row>
    <row r="877" spans="24:24" x14ac:dyDescent="0.2">
      <c r="X877" s="88"/>
    </row>
    <row r="878" spans="24:24" x14ac:dyDescent="0.2">
      <c r="X878" s="88"/>
    </row>
    <row r="879" spans="24:24" x14ac:dyDescent="0.2">
      <c r="X879" s="88"/>
    </row>
    <row r="880" spans="24:24" x14ac:dyDescent="0.2">
      <c r="X880" s="88"/>
    </row>
    <row r="881" spans="24:24" x14ac:dyDescent="0.2">
      <c r="X881" s="88"/>
    </row>
    <row r="882" spans="24:24" x14ac:dyDescent="0.2">
      <c r="X882" s="88"/>
    </row>
    <row r="883" spans="24:24" x14ac:dyDescent="0.2">
      <c r="X883" s="88"/>
    </row>
    <row r="884" spans="24:24" x14ac:dyDescent="0.2">
      <c r="X884" s="88"/>
    </row>
    <row r="885" spans="24:24" x14ac:dyDescent="0.2">
      <c r="X885" s="88"/>
    </row>
    <row r="886" spans="24:24" x14ac:dyDescent="0.2">
      <c r="X886" s="88"/>
    </row>
    <row r="887" spans="24:24" x14ac:dyDescent="0.2">
      <c r="X887" s="88"/>
    </row>
    <row r="888" spans="24:24" x14ac:dyDescent="0.2">
      <c r="X888" s="88"/>
    </row>
    <row r="889" spans="24:24" x14ac:dyDescent="0.2">
      <c r="X889" s="88"/>
    </row>
    <row r="890" spans="24:24" x14ac:dyDescent="0.2">
      <c r="X890" s="88"/>
    </row>
    <row r="891" spans="24:24" x14ac:dyDescent="0.2">
      <c r="X891" s="88"/>
    </row>
    <row r="892" spans="24:24" x14ac:dyDescent="0.2">
      <c r="X892" s="88"/>
    </row>
    <row r="893" spans="24:24" x14ac:dyDescent="0.2">
      <c r="X893" s="88"/>
    </row>
    <row r="894" spans="24:24" x14ac:dyDescent="0.2">
      <c r="X894" s="88"/>
    </row>
    <row r="895" spans="24:24" x14ac:dyDescent="0.2">
      <c r="X895" s="88"/>
    </row>
    <row r="896" spans="24:24" x14ac:dyDescent="0.2">
      <c r="X896" s="88"/>
    </row>
    <row r="897" spans="24:24" x14ac:dyDescent="0.2">
      <c r="X897" s="88"/>
    </row>
    <row r="898" spans="24:24" x14ac:dyDescent="0.2">
      <c r="X898" s="88"/>
    </row>
    <row r="899" spans="24:24" x14ac:dyDescent="0.2">
      <c r="X899" s="88"/>
    </row>
    <row r="900" spans="24:24" x14ac:dyDescent="0.2">
      <c r="X900" s="88"/>
    </row>
    <row r="901" spans="24:24" x14ac:dyDescent="0.2">
      <c r="X901" s="88"/>
    </row>
    <row r="902" spans="24:24" x14ac:dyDescent="0.2">
      <c r="X902" s="88"/>
    </row>
    <row r="903" spans="24:24" x14ac:dyDescent="0.2">
      <c r="X903" s="88"/>
    </row>
    <row r="904" spans="24:24" x14ac:dyDescent="0.2">
      <c r="X904" s="88"/>
    </row>
    <row r="905" spans="24:24" x14ac:dyDescent="0.2">
      <c r="X905" s="88"/>
    </row>
    <row r="906" spans="24:24" x14ac:dyDescent="0.2">
      <c r="X906" s="88"/>
    </row>
    <row r="907" spans="24:24" x14ac:dyDescent="0.2">
      <c r="X907" s="88"/>
    </row>
    <row r="908" spans="24:24" x14ac:dyDescent="0.2">
      <c r="X908" s="88"/>
    </row>
    <row r="909" spans="24:24" x14ac:dyDescent="0.2">
      <c r="X909" s="88"/>
    </row>
    <row r="910" spans="24:24" x14ac:dyDescent="0.2">
      <c r="X910" s="88"/>
    </row>
    <row r="911" spans="24:24" x14ac:dyDescent="0.2">
      <c r="X911" s="88"/>
    </row>
    <row r="912" spans="24:24" x14ac:dyDescent="0.2">
      <c r="X912" s="88"/>
    </row>
    <row r="913" spans="24:24" x14ac:dyDescent="0.2">
      <c r="X913" s="88"/>
    </row>
    <row r="914" spans="24:24" x14ac:dyDescent="0.2">
      <c r="X914" s="88"/>
    </row>
    <row r="915" spans="24:24" x14ac:dyDescent="0.2">
      <c r="X915" s="88"/>
    </row>
    <row r="916" spans="24:24" x14ac:dyDescent="0.2">
      <c r="X916" s="88"/>
    </row>
    <row r="917" spans="24:24" x14ac:dyDescent="0.2">
      <c r="X917" s="88"/>
    </row>
    <row r="918" spans="24:24" x14ac:dyDescent="0.2">
      <c r="X918" s="88"/>
    </row>
    <row r="919" spans="24:24" x14ac:dyDescent="0.2">
      <c r="X919" s="88"/>
    </row>
    <row r="920" spans="24:24" x14ac:dyDescent="0.2">
      <c r="X920" s="88"/>
    </row>
    <row r="921" spans="24:24" x14ac:dyDescent="0.2">
      <c r="X921" s="88"/>
    </row>
    <row r="922" spans="24:24" x14ac:dyDescent="0.2">
      <c r="X922" s="88"/>
    </row>
    <row r="923" spans="24:24" x14ac:dyDescent="0.2">
      <c r="X923" s="88"/>
    </row>
    <row r="924" spans="24:24" x14ac:dyDescent="0.2">
      <c r="X924" s="88"/>
    </row>
    <row r="925" spans="24:24" x14ac:dyDescent="0.2">
      <c r="X925" s="88"/>
    </row>
    <row r="926" spans="24:24" x14ac:dyDescent="0.2">
      <c r="X926" s="88"/>
    </row>
    <row r="927" spans="24:24" x14ac:dyDescent="0.2">
      <c r="X927" s="88"/>
    </row>
    <row r="928" spans="24:24" x14ac:dyDescent="0.2">
      <c r="X928" s="88"/>
    </row>
    <row r="929" spans="24:24" x14ac:dyDescent="0.2">
      <c r="X929" s="88"/>
    </row>
    <row r="930" spans="24:24" x14ac:dyDescent="0.2">
      <c r="X930" s="88"/>
    </row>
    <row r="931" spans="24:24" x14ac:dyDescent="0.2">
      <c r="X931" s="88"/>
    </row>
    <row r="932" spans="24:24" x14ac:dyDescent="0.2">
      <c r="X932" s="88"/>
    </row>
    <row r="933" spans="24:24" x14ac:dyDescent="0.2">
      <c r="X933" s="88"/>
    </row>
    <row r="934" spans="24:24" x14ac:dyDescent="0.2">
      <c r="X934" s="88"/>
    </row>
    <row r="935" spans="24:24" x14ac:dyDescent="0.2">
      <c r="X935" s="88"/>
    </row>
    <row r="936" spans="24:24" x14ac:dyDescent="0.2">
      <c r="X936" s="88"/>
    </row>
    <row r="937" spans="24:24" x14ac:dyDescent="0.2">
      <c r="X937" s="88"/>
    </row>
    <row r="938" spans="24:24" x14ac:dyDescent="0.2">
      <c r="X938" s="88"/>
    </row>
    <row r="939" spans="24:24" x14ac:dyDescent="0.2">
      <c r="X939" s="88"/>
    </row>
    <row r="940" spans="24:24" x14ac:dyDescent="0.2">
      <c r="X940" s="88"/>
    </row>
    <row r="941" spans="24:24" x14ac:dyDescent="0.2">
      <c r="X941" s="88"/>
    </row>
    <row r="942" spans="24:24" x14ac:dyDescent="0.2">
      <c r="X942" s="88"/>
    </row>
    <row r="943" spans="24:24" x14ac:dyDescent="0.2">
      <c r="X943" s="88"/>
    </row>
    <row r="944" spans="24:24" x14ac:dyDescent="0.2">
      <c r="X944" s="88"/>
    </row>
    <row r="945" spans="24:24" x14ac:dyDescent="0.2">
      <c r="X945" s="88"/>
    </row>
    <row r="946" spans="24:24" x14ac:dyDescent="0.2">
      <c r="X946" s="88"/>
    </row>
    <row r="947" spans="24:24" x14ac:dyDescent="0.2">
      <c r="X947" s="88"/>
    </row>
    <row r="948" spans="24:24" x14ac:dyDescent="0.2">
      <c r="X948" s="88"/>
    </row>
    <row r="949" spans="24:24" x14ac:dyDescent="0.2">
      <c r="X949" s="88"/>
    </row>
    <row r="950" spans="24:24" x14ac:dyDescent="0.2">
      <c r="X950" s="88"/>
    </row>
    <row r="951" spans="24:24" x14ac:dyDescent="0.2">
      <c r="X951" s="88"/>
    </row>
    <row r="952" spans="24:24" x14ac:dyDescent="0.2">
      <c r="X952" s="88"/>
    </row>
    <row r="953" spans="24:24" x14ac:dyDescent="0.2">
      <c r="X953" s="88"/>
    </row>
    <row r="954" spans="24:24" x14ac:dyDescent="0.2">
      <c r="X954" s="88"/>
    </row>
    <row r="955" spans="24:24" x14ac:dyDescent="0.2">
      <c r="X955" s="88"/>
    </row>
    <row r="956" spans="24:24" x14ac:dyDescent="0.2">
      <c r="X956" s="88"/>
    </row>
    <row r="957" spans="24:24" x14ac:dyDescent="0.2">
      <c r="X957" s="88"/>
    </row>
    <row r="958" spans="24:24" x14ac:dyDescent="0.2">
      <c r="X958" s="88"/>
    </row>
    <row r="959" spans="24:24" x14ac:dyDescent="0.2">
      <c r="X959" s="88"/>
    </row>
    <row r="960" spans="24:24" x14ac:dyDescent="0.2">
      <c r="X960" s="88"/>
    </row>
    <row r="961" spans="24:24" x14ac:dyDescent="0.2">
      <c r="X961" s="88"/>
    </row>
    <row r="962" spans="24:24" x14ac:dyDescent="0.2">
      <c r="X962" s="88"/>
    </row>
    <row r="963" spans="24:24" x14ac:dyDescent="0.2">
      <c r="X963" s="88"/>
    </row>
    <row r="964" spans="24:24" x14ac:dyDescent="0.2">
      <c r="X964" s="88"/>
    </row>
    <row r="965" spans="24:24" x14ac:dyDescent="0.2">
      <c r="X965" s="88"/>
    </row>
    <row r="966" spans="24:24" x14ac:dyDescent="0.2">
      <c r="X966" s="88"/>
    </row>
    <row r="967" spans="24:24" x14ac:dyDescent="0.2">
      <c r="X967" s="88"/>
    </row>
    <row r="968" spans="24:24" x14ac:dyDescent="0.2">
      <c r="X968" s="88"/>
    </row>
    <row r="969" spans="24:24" x14ac:dyDescent="0.2">
      <c r="X969" s="88"/>
    </row>
    <row r="970" spans="24:24" x14ac:dyDescent="0.2">
      <c r="X970" s="88"/>
    </row>
    <row r="971" spans="24:24" x14ac:dyDescent="0.2">
      <c r="X971" s="88"/>
    </row>
    <row r="972" spans="24:24" x14ac:dyDescent="0.2">
      <c r="X972" s="88"/>
    </row>
    <row r="973" spans="24:24" x14ac:dyDescent="0.2">
      <c r="X973" s="88"/>
    </row>
    <row r="974" spans="24:24" x14ac:dyDescent="0.2">
      <c r="X974" s="88"/>
    </row>
    <row r="975" spans="24:24" x14ac:dyDescent="0.2">
      <c r="X975" s="88"/>
    </row>
    <row r="976" spans="24:24" x14ac:dyDescent="0.2">
      <c r="X976" s="88"/>
    </row>
    <row r="977" spans="24:24" x14ac:dyDescent="0.2">
      <c r="X977" s="88"/>
    </row>
    <row r="978" spans="24:24" x14ac:dyDescent="0.2">
      <c r="X978" s="88"/>
    </row>
    <row r="979" spans="24:24" x14ac:dyDescent="0.2">
      <c r="X979" s="88"/>
    </row>
    <row r="980" spans="24:24" x14ac:dyDescent="0.2">
      <c r="X980" s="88"/>
    </row>
    <row r="981" spans="24:24" x14ac:dyDescent="0.2">
      <c r="X981" s="88"/>
    </row>
    <row r="982" spans="24:24" x14ac:dyDescent="0.2">
      <c r="X982" s="88"/>
    </row>
    <row r="983" spans="24:24" x14ac:dyDescent="0.2">
      <c r="X983" s="88"/>
    </row>
    <row r="984" spans="24:24" x14ac:dyDescent="0.2">
      <c r="X984" s="88"/>
    </row>
    <row r="985" spans="24:24" x14ac:dyDescent="0.2">
      <c r="X985" s="88"/>
    </row>
    <row r="986" spans="24:24" x14ac:dyDescent="0.2">
      <c r="X986" s="88"/>
    </row>
    <row r="987" spans="24:24" x14ac:dyDescent="0.2">
      <c r="X987" s="88"/>
    </row>
    <row r="988" spans="24:24" x14ac:dyDescent="0.2">
      <c r="X988" s="88"/>
    </row>
    <row r="989" spans="24:24" x14ac:dyDescent="0.2">
      <c r="X989" s="88"/>
    </row>
    <row r="990" spans="24:24" x14ac:dyDescent="0.2">
      <c r="X990" s="88"/>
    </row>
    <row r="991" spans="24:24" x14ac:dyDescent="0.2">
      <c r="X991" s="88"/>
    </row>
    <row r="992" spans="24:24" x14ac:dyDescent="0.2">
      <c r="X992" s="88"/>
    </row>
    <row r="993" spans="24:24" x14ac:dyDescent="0.2">
      <c r="X993" s="88"/>
    </row>
    <row r="994" spans="24:24" x14ac:dyDescent="0.2">
      <c r="X994" s="88"/>
    </row>
    <row r="995" spans="24:24" x14ac:dyDescent="0.2">
      <c r="X995" s="88"/>
    </row>
    <row r="996" spans="24:24" x14ac:dyDescent="0.2">
      <c r="X996" s="88"/>
    </row>
    <row r="997" spans="24:24" x14ac:dyDescent="0.2">
      <c r="X997" s="88"/>
    </row>
    <row r="998" spans="24:24" x14ac:dyDescent="0.2">
      <c r="X998" s="88"/>
    </row>
    <row r="999" spans="24:24" x14ac:dyDescent="0.2">
      <c r="X999" s="88"/>
    </row>
    <row r="1000" spans="24:24" x14ac:dyDescent="0.2">
      <c r="X1000" s="88"/>
    </row>
    <row r="1001" spans="24:24" x14ac:dyDescent="0.2">
      <c r="X1001" s="88"/>
    </row>
    <row r="1002" spans="24:24" x14ac:dyDescent="0.2">
      <c r="X1002" s="88"/>
    </row>
    <row r="1003" spans="24:24" x14ac:dyDescent="0.2">
      <c r="X1003" s="88"/>
    </row>
    <row r="1004" spans="24:24" x14ac:dyDescent="0.2">
      <c r="X1004" s="88"/>
    </row>
    <row r="1005" spans="24:24" x14ac:dyDescent="0.2">
      <c r="X1005" s="88"/>
    </row>
    <row r="1006" spans="24:24" x14ac:dyDescent="0.2">
      <c r="X1006" s="88"/>
    </row>
    <row r="1007" spans="24:24" x14ac:dyDescent="0.2">
      <c r="X1007" s="88"/>
    </row>
    <row r="1008" spans="24:24" x14ac:dyDescent="0.2">
      <c r="X1008" s="88"/>
    </row>
    <row r="1009" spans="24:24" x14ac:dyDescent="0.2">
      <c r="X1009" s="88"/>
    </row>
    <row r="1010" spans="24:24" x14ac:dyDescent="0.2">
      <c r="X1010" s="88"/>
    </row>
    <row r="1011" spans="24:24" x14ac:dyDescent="0.2">
      <c r="X1011" s="88"/>
    </row>
    <row r="1012" spans="24:24" x14ac:dyDescent="0.2">
      <c r="X1012" s="88"/>
    </row>
    <row r="1013" spans="24:24" x14ac:dyDescent="0.2">
      <c r="X1013" s="88"/>
    </row>
    <row r="1014" spans="24:24" x14ac:dyDescent="0.2">
      <c r="X1014" s="88"/>
    </row>
    <row r="1015" spans="24:24" x14ac:dyDescent="0.2">
      <c r="X1015" s="88"/>
    </row>
    <row r="1016" spans="24:24" x14ac:dyDescent="0.2">
      <c r="X1016" s="88"/>
    </row>
    <row r="1017" spans="24:24" x14ac:dyDescent="0.2">
      <c r="X1017" s="88"/>
    </row>
    <row r="1018" spans="24:24" x14ac:dyDescent="0.2">
      <c r="X1018" s="88"/>
    </row>
    <row r="1019" spans="24:24" x14ac:dyDescent="0.2">
      <c r="X1019" s="88"/>
    </row>
    <row r="1020" spans="24:24" x14ac:dyDescent="0.2">
      <c r="X1020" s="88"/>
    </row>
    <row r="1021" spans="24:24" x14ac:dyDescent="0.2">
      <c r="X1021" s="88"/>
    </row>
    <row r="1022" spans="24:24" x14ac:dyDescent="0.2">
      <c r="X1022" s="88"/>
    </row>
    <row r="1023" spans="24:24" x14ac:dyDescent="0.2">
      <c r="X1023" s="88"/>
    </row>
    <row r="1024" spans="24:24" x14ac:dyDescent="0.2">
      <c r="X1024" s="88"/>
    </row>
    <row r="1025" spans="24:24" x14ac:dyDescent="0.2">
      <c r="X1025" s="88"/>
    </row>
    <row r="1026" spans="24:24" x14ac:dyDescent="0.2">
      <c r="X1026" s="88"/>
    </row>
    <row r="1027" spans="24:24" x14ac:dyDescent="0.2">
      <c r="X1027" s="88"/>
    </row>
    <row r="1028" spans="24:24" x14ac:dyDescent="0.2">
      <c r="X1028" s="88"/>
    </row>
    <row r="1029" spans="24:24" x14ac:dyDescent="0.2">
      <c r="X1029" s="88"/>
    </row>
    <row r="1030" spans="24:24" x14ac:dyDescent="0.2">
      <c r="X1030" s="88"/>
    </row>
    <row r="1031" spans="24:24" x14ac:dyDescent="0.2">
      <c r="X1031" s="88"/>
    </row>
    <row r="1032" spans="24:24" x14ac:dyDescent="0.2">
      <c r="X1032" s="88"/>
    </row>
    <row r="1033" spans="24:24" x14ac:dyDescent="0.2">
      <c r="X1033" s="88"/>
    </row>
    <row r="1034" spans="24:24" x14ac:dyDescent="0.2">
      <c r="X1034" s="88"/>
    </row>
    <row r="1035" spans="24:24" x14ac:dyDescent="0.2">
      <c r="X1035" s="88"/>
    </row>
    <row r="1036" spans="24:24" x14ac:dyDescent="0.2">
      <c r="X1036" s="88"/>
    </row>
    <row r="1037" spans="24:24" x14ac:dyDescent="0.2">
      <c r="X1037" s="88"/>
    </row>
    <row r="1038" spans="24:24" x14ac:dyDescent="0.2">
      <c r="X1038" s="88"/>
    </row>
    <row r="1039" spans="24:24" x14ac:dyDescent="0.2">
      <c r="X1039" s="88"/>
    </row>
    <row r="1040" spans="24:24" x14ac:dyDescent="0.2">
      <c r="X1040" s="88"/>
    </row>
    <row r="1041" spans="24:24" x14ac:dyDescent="0.2">
      <c r="X1041" s="88"/>
    </row>
    <row r="1042" spans="24:24" x14ac:dyDescent="0.2">
      <c r="X1042" s="88"/>
    </row>
    <row r="1043" spans="24:24" x14ac:dyDescent="0.2">
      <c r="X1043" s="88"/>
    </row>
    <row r="1044" spans="24:24" x14ac:dyDescent="0.2">
      <c r="X1044" s="88"/>
    </row>
    <row r="1045" spans="24:24" x14ac:dyDescent="0.2">
      <c r="X1045" s="88"/>
    </row>
    <row r="1046" spans="24:24" x14ac:dyDescent="0.2">
      <c r="X1046" s="88"/>
    </row>
    <row r="1047" spans="24:24" x14ac:dyDescent="0.2">
      <c r="X1047" s="88"/>
    </row>
    <row r="1048" spans="24:24" x14ac:dyDescent="0.2">
      <c r="X1048" s="88"/>
    </row>
    <row r="1049" spans="24:24" x14ac:dyDescent="0.2">
      <c r="X1049" s="88"/>
    </row>
    <row r="1050" spans="24:24" x14ac:dyDescent="0.2">
      <c r="X1050" s="88"/>
    </row>
    <row r="1051" spans="24:24" x14ac:dyDescent="0.2">
      <c r="X1051" s="88"/>
    </row>
    <row r="1052" spans="24:24" x14ac:dyDescent="0.2">
      <c r="X1052" s="88"/>
    </row>
    <row r="1053" spans="24:24" x14ac:dyDescent="0.2">
      <c r="X1053" s="88"/>
    </row>
    <row r="1054" spans="24:24" x14ac:dyDescent="0.2">
      <c r="X1054" s="88"/>
    </row>
    <row r="1055" spans="24:24" x14ac:dyDescent="0.2">
      <c r="X1055" s="88"/>
    </row>
    <row r="1056" spans="24:24" x14ac:dyDescent="0.2">
      <c r="X1056" s="88"/>
    </row>
    <row r="1057" spans="24:24" x14ac:dyDescent="0.2">
      <c r="X1057" s="88"/>
    </row>
    <row r="1058" spans="24:24" x14ac:dyDescent="0.2">
      <c r="X1058" s="88"/>
    </row>
    <row r="1059" spans="24:24" x14ac:dyDescent="0.2">
      <c r="X1059" s="88"/>
    </row>
    <row r="1060" spans="24:24" x14ac:dyDescent="0.2">
      <c r="X1060" s="88"/>
    </row>
    <row r="1061" spans="24:24" x14ac:dyDescent="0.2">
      <c r="X1061" s="88"/>
    </row>
    <row r="1062" spans="24:24" x14ac:dyDescent="0.2">
      <c r="X1062" s="88"/>
    </row>
    <row r="1063" spans="24:24" x14ac:dyDescent="0.2">
      <c r="X1063" s="88"/>
    </row>
    <row r="1064" spans="24:24" x14ac:dyDescent="0.2">
      <c r="X1064" s="88"/>
    </row>
    <row r="1065" spans="24:24" x14ac:dyDescent="0.2">
      <c r="X1065" s="88"/>
    </row>
    <row r="1066" spans="24:24" x14ac:dyDescent="0.2">
      <c r="X1066" s="88"/>
    </row>
    <row r="1067" spans="24:24" x14ac:dyDescent="0.2">
      <c r="X1067" s="88"/>
    </row>
    <row r="1068" spans="24:24" x14ac:dyDescent="0.2">
      <c r="X1068" s="88"/>
    </row>
    <row r="1069" spans="24:24" x14ac:dyDescent="0.2">
      <c r="X1069" s="88"/>
    </row>
    <row r="1070" spans="24:24" x14ac:dyDescent="0.2">
      <c r="X1070" s="88"/>
    </row>
    <row r="1071" spans="24:24" x14ac:dyDescent="0.2">
      <c r="X1071" s="88"/>
    </row>
    <row r="1072" spans="24:24" x14ac:dyDescent="0.2">
      <c r="X1072" s="88"/>
    </row>
    <row r="1073" spans="24:24" x14ac:dyDescent="0.2">
      <c r="X1073" s="88"/>
    </row>
    <row r="1074" spans="24:24" x14ac:dyDescent="0.2">
      <c r="X1074" s="88"/>
    </row>
    <row r="1075" spans="24:24" x14ac:dyDescent="0.2">
      <c r="X1075" s="88"/>
    </row>
    <row r="1076" spans="24:24" x14ac:dyDescent="0.2">
      <c r="X1076" s="88"/>
    </row>
    <row r="1077" spans="24:24" x14ac:dyDescent="0.2">
      <c r="X1077" s="88"/>
    </row>
    <row r="1078" spans="24:24" x14ac:dyDescent="0.2">
      <c r="X1078" s="88"/>
    </row>
    <row r="1079" spans="24:24" x14ac:dyDescent="0.2">
      <c r="X1079" s="88"/>
    </row>
    <row r="1080" spans="24:24" x14ac:dyDescent="0.2">
      <c r="X1080" s="88"/>
    </row>
    <row r="1081" spans="24:24" x14ac:dyDescent="0.2">
      <c r="X1081" s="88"/>
    </row>
    <row r="1082" spans="24:24" x14ac:dyDescent="0.2">
      <c r="X1082" s="88"/>
    </row>
    <row r="1083" spans="24:24" x14ac:dyDescent="0.2">
      <c r="X1083" s="88"/>
    </row>
    <row r="1084" spans="24:24" x14ac:dyDescent="0.2">
      <c r="X1084" s="88"/>
    </row>
    <row r="1085" spans="24:24" x14ac:dyDescent="0.2">
      <c r="X1085" s="88"/>
    </row>
    <row r="1086" spans="24:24" x14ac:dyDescent="0.2">
      <c r="X1086" s="88"/>
    </row>
    <row r="1087" spans="24:24" x14ac:dyDescent="0.2">
      <c r="X1087" s="88"/>
    </row>
    <row r="1088" spans="24:24" x14ac:dyDescent="0.2">
      <c r="X1088" s="88"/>
    </row>
    <row r="1089" spans="24:24" x14ac:dyDescent="0.2">
      <c r="X1089" s="88"/>
    </row>
    <row r="1090" spans="24:24" x14ac:dyDescent="0.2">
      <c r="X1090" s="88"/>
    </row>
    <row r="1091" spans="24:24" x14ac:dyDescent="0.2">
      <c r="X1091" s="88"/>
    </row>
    <row r="1092" spans="24:24" x14ac:dyDescent="0.2">
      <c r="X1092" s="88"/>
    </row>
    <row r="1093" spans="24:24" x14ac:dyDescent="0.2">
      <c r="X1093" s="88"/>
    </row>
    <row r="1094" spans="24:24" x14ac:dyDescent="0.2">
      <c r="X1094" s="88"/>
    </row>
    <row r="1095" spans="24:24" x14ac:dyDescent="0.2">
      <c r="X1095" s="88"/>
    </row>
    <row r="1096" spans="24:24" x14ac:dyDescent="0.2">
      <c r="X1096" s="88"/>
    </row>
    <row r="1097" spans="24:24" x14ac:dyDescent="0.2">
      <c r="X1097" s="88"/>
    </row>
    <row r="1098" spans="24:24" x14ac:dyDescent="0.2">
      <c r="X1098" s="88"/>
    </row>
    <row r="1099" spans="24:24" x14ac:dyDescent="0.2">
      <c r="X1099" s="88"/>
    </row>
    <row r="1100" spans="24:24" x14ac:dyDescent="0.2">
      <c r="X1100" s="88"/>
    </row>
    <row r="1101" spans="24:24" x14ac:dyDescent="0.2">
      <c r="X1101" s="88"/>
    </row>
    <row r="1102" spans="24:24" x14ac:dyDescent="0.2">
      <c r="X1102" s="88"/>
    </row>
    <row r="1103" spans="24:24" x14ac:dyDescent="0.2">
      <c r="X1103" s="88"/>
    </row>
    <row r="1104" spans="24:24" x14ac:dyDescent="0.2">
      <c r="X1104" s="88"/>
    </row>
    <row r="1105" spans="24:24" x14ac:dyDescent="0.2">
      <c r="X1105" s="88"/>
    </row>
    <row r="1106" spans="24:24" x14ac:dyDescent="0.2">
      <c r="X1106" s="88"/>
    </row>
    <row r="1107" spans="24:24" x14ac:dyDescent="0.2">
      <c r="X1107" s="88"/>
    </row>
    <row r="1108" spans="24:24" x14ac:dyDescent="0.2">
      <c r="X1108" s="88"/>
    </row>
    <row r="1109" spans="24:24" x14ac:dyDescent="0.2">
      <c r="X1109" s="88"/>
    </row>
    <row r="1110" spans="24:24" x14ac:dyDescent="0.2">
      <c r="X1110" s="88"/>
    </row>
    <row r="1111" spans="24:24" x14ac:dyDescent="0.2">
      <c r="X1111" s="88"/>
    </row>
    <row r="1112" spans="24:24" x14ac:dyDescent="0.2">
      <c r="X1112" s="88"/>
    </row>
    <row r="1113" spans="24:24" x14ac:dyDescent="0.2">
      <c r="X1113" s="88"/>
    </row>
    <row r="1114" spans="24:24" x14ac:dyDescent="0.2">
      <c r="X1114" s="88"/>
    </row>
    <row r="1115" spans="24:24" x14ac:dyDescent="0.2">
      <c r="X1115" s="88"/>
    </row>
    <row r="1116" spans="24:24" x14ac:dyDescent="0.2">
      <c r="X1116" s="88"/>
    </row>
    <row r="1117" spans="24:24" x14ac:dyDescent="0.2">
      <c r="X1117" s="88"/>
    </row>
    <row r="1118" spans="24:24" x14ac:dyDescent="0.2">
      <c r="X1118" s="88"/>
    </row>
    <row r="1119" spans="24:24" x14ac:dyDescent="0.2">
      <c r="X1119" s="88"/>
    </row>
    <row r="1120" spans="24:24" x14ac:dyDescent="0.2">
      <c r="X1120" s="88"/>
    </row>
    <row r="1121" spans="24:24" x14ac:dyDescent="0.2">
      <c r="X1121" s="88"/>
    </row>
    <row r="1122" spans="24:24" x14ac:dyDescent="0.2">
      <c r="X1122" s="88"/>
    </row>
    <row r="1123" spans="24:24" x14ac:dyDescent="0.2">
      <c r="X1123" s="88"/>
    </row>
    <row r="1124" spans="24:24" x14ac:dyDescent="0.2">
      <c r="X1124" s="88"/>
    </row>
    <row r="1125" spans="24:24" x14ac:dyDescent="0.2">
      <c r="X1125" s="88"/>
    </row>
    <row r="1126" spans="24:24" x14ac:dyDescent="0.2">
      <c r="X1126" s="88"/>
    </row>
    <row r="1127" spans="24:24" x14ac:dyDescent="0.2">
      <c r="X1127" s="88"/>
    </row>
    <row r="1128" spans="24:24" x14ac:dyDescent="0.2">
      <c r="X1128" s="88"/>
    </row>
    <row r="1129" spans="24:24" x14ac:dyDescent="0.2">
      <c r="X1129" s="88"/>
    </row>
    <row r="1130" spans="24:24" x14ac:dyDescent="0.2">
      <c r="X1130" s="88"/>
    </row>
    <row r="1131" spans="24:24" x14ac:dyDescent="0.2">
      <c r="X1131" s="88"/>
    </row>
    <row r="1132" spans="24:24" x14ac:dyDescent="0.2">
      <c r="X1132" s="88"/>
    </row>
    <row r="1133" spans="24:24" x14ac:dyDescent="0.2">
      <c r="X1133" s="88"/>
    </row>
    <row r="1134" spans="24:24" x14ac:dyDescent="0.2">
      <c r="X1134" s="88"/>
    </row>
    <row r="1135" spans="24:24" x14ac:dyDescent="0.2">
      <c r="X1135" s="88"/>
    </row>
    <row r="1136" spans="24:24" x14ac:dyDescent="0.2">
      <c r="X1136" s="88"/>
    </row>
    <row r="1137" spans="24:24" x14ac:dyDescent="0.2">
      <c r="X1137" s="88"/>
    </row>
    <row r="1138" spans="24:24" x14ac:dyDescent="0.2">
      <c r="X1138" s="88"/>
    </row>
    <row r="1139" spans="24:24" x14ac:dyDescent="0.2">
      <c r="X1139" s="88"/>
    </row>
    <row r="1140" spans="24:24" x14ac:dyDescent="0.2">
      <c r="X1140" s="88"/>
    </row>
    <row r="1141" spans="24:24" x14ac:dyDescent="0.2">
      <c r="X1141" s="88"/>
    </row>
    <row r="1142" spans="24:24" x14ac:dyDescent="0.2">
      <c r="X1142" s="88"/>
    </row>
    <row r="1143" spans="24:24" x14ac:dyDescent="0.2">
      <c r="X1143" s="88"/>
    </row>
    <row r="1144" spans="24:24" x14ac:dyDescent="0.2">
      <c r="X1144" s="88"/>
    </row>
    <row r="1145" spans="24:24" x14ac:dyDescent="0.2">
      <c r="X1145" s="88"/>
    </row>
    <row r="1146" spans="24:24" x14ac:dyDescent="0.2">
      <c r="X1146" s="88"/>
    </row>
    <row r="1147" spans="24:24" x14ac:dyDescent="0.2">
      <c r="X1147" s="88"/>
    </row>
    <row r="1148" spans="24:24" x14ac:dyDescent="0.2">
      <c r="X1148" s="88"/>
    </row>
    <row r="1149" spans="24:24" x14ac:dyDescent="0.2">
      <c r="X1149" s="88"/>
    </row>
    <row r="1150" spans="24:24" x14ac:dyDescent="0.2">
      <c r="X1150" s="88"/>
    </row>
    <row r="1151" spans="24:24" x14ac:dyDescent="0.2">
      <c r="X1151" s="88"/>
    </row>
    <row r="1152" spans="24:24" x14ac:dyDescent="0.2">
      <c r="X1152" s="88"/>
    </row>
    <row r="1153" spans="24:24" x14ac:dyDescent="0.2">
      <c r="X1153" s="88"/>
    </row>
    <row r="1154" spans="24:24" x14ac:dyDescent="0.2">
      <c r="X1154" s="88"/>
    </row>
    <row r="1155" spans="24:24" x14ac:dyDescent="0.2">
      <c r="X1155" s="88"/>
    </row>
    <row r="1156" spans="24:24" x14ac:dyDescent="0.2">
      <c r="X1156" s="88"/>
    </row>
    <row r="1157" spans="24:24" x14ac:dyDescent="0.2">
      <c r="X1157" s="88"/>
    </row>
    <row r="1158" spans="24:24" x14ac:dyDescent="0.2">
      <c r="X1158" s="88"/>
    </row>
    <row r="1159" spans="24:24" x14ac:dyDescent="0.2">
      <c r="X1159" s="88"/>
    </row>
    <row r="1160" spans="24:24" x14ac:dyDescent="0.2">
      <c r="X1160" s="88"/>
    </row>
    <row r="1161" spans="24:24" x14ac:dyDescent="0.2">
      <c r="X1161" s="88"/>
    </row>
    <row r="1162" spans="24:24" x14ac:dyDescent="0.2">
      <c r="X1162" s="88"/>
    </row>
    <row r="1163" spans="24:24" x14ac:dyDescent="0.2">
      <c r="X1163" s="88"/>
    </row>
    <row r="1164" spans="24:24" x14ac:dyDescent="0.2">
      <c r="X1164" s="88"/>
    </row>
    <row r="1165" spans="24:24" x14ac:dyDescent="0.2">
      <c r="X1165" s="88"/>
    </row>
    <row r="1166" spans="24:24" x14ac:dyDescent="0.2">
      <c r="X1166" s="88"/>
    </row>
    <row r="1167" spans="24:24" x14ac:dyDescent="0.2">
      <c r="X1167" s="88"/>
    </row>
    <row r="1168" spans="24:24" x14ac:dyDescent="0.2">
      <c r="X1168" s="88"/>
    </row>
    <row r="1169" spans="24:24" x14ac:dyDescent="0.2">
      <c r="X1169" s="88"/>
    </row>
    <row r="1170" spans="24:24" x14ac:dyDescent="0.2">
      <c r="X1170" s="88"/>
    </row>
    <row r="1171" spans="24:24" x14ac:dyDescent="0.2">
      <c r="X1171" s="88"/>
    </row>
    <row r="1172" spans="24:24" x14ac:dyDescent="0.2">
      <c r="X1172" s="88"/>
    </row>
    <row r="1173" spans="24:24" x14ac:dyDescent="0.2">
      <c r="X1173" s="88"/>
    </row>
    <row r="1174" spans="24:24" x14ac:dyDescent="0.2">
      <c r="X1174" s="88"/>
    </row>
    <row r="1175" spans="24:24" x14ac:dyDescent="0.2">
      <c r="X1175" s="88"/>
    </row>
    <row r="1176" spans="24:24" x14ac:dyDescent="0.2">
      <c r="X1176" s="88"/>
    </row>
    <row r="1177" spans="24:24" x14ac:dyDescent="0.2">
      <c r="X1177" s="88"/>
    </row>
    <row r="1178" spans="24:24" x14ac:dyDescent="0.2">
      <c r="X1178" s="88"/>
    </row>
    <row r="1179" spans="24:24" x14ac:dyDescent="0.2">
      <c r="X1179" s="88"/>
    </row>
    <row r="1180" spans="24:24" x14ac:dyDescent="0.2">
      <c r="X1180" s="88"/>
    </row>
    <row r="1181" spans="24:24" x14ac:dyDescent="0.2">
      <c r="X1181" s="88"/>
    </row>
    <row r="1182" spans="24:24" x14ac:dyDescent="0.2">
      <c r="X1182" s="88"/>
    </row>
    <row r="1183" spans="24:24" x14ac:dyDescent="0.2">
      <c r="X1183" s="88"/>
    </row>
    <row r="1184" spans="24:24" x14ac:dyDescent="0.2">
      <c r="X1184" s="88"/>
    </row>
    <row r="1185" spans="24:24" x14ac:dyDescent="0.2">
      <c r="X1185" s="88"/>
    </row>
    <row r="1186" spans="24:24" x14ac:dyDescent="0.2">
      <c r="X1186" s="88"/>
    </row>
    <row r="1187" spans="24:24" x14ac:dyDescent="0.2">
      <c r="X1187" s="88"/>
    </row>
    <row r="1188" spans="24:24" x14ac:dyDescent="0.2">
      <c r="X1188" s="88"/>
    </row>
    <row r="1189" spans="24:24" x14ac:dyDescent="0.2">
      <c r="X1189" s="88"/>
    </row>
    <row r="1190" spans="24:24" x14ac:dyDescent="0.2">
      <c r="X1190" s="88"/>
    </row>
    <row r="1191" spans="24:24" x14ac:dyDescent="0.2">
      <c r="X1191" s="88"/>
    </row>
    <row r="1192" spans="24:24" x14ac:dyDescent="0.2">
      <c r="X1192" s="88"/>
    </row>
    <row r="1193" spans="24:24" x14ac:dyDescent="0.2">
      <c r="X1193" s="88"/>
    </row>
    <row r="1194" spans="24:24" x14ac:dyDescent="0.2">
      <c r="X1194" s="88"/>
    </row>
    <row r="1195" spans="24:24" x14ac:dyDescent="0.2">
      <c r="X1195" s="88"/>
    </row>
    <row r="1196" spans="24:24" x14ac:dyDescent="0.2">
      <c r="X1196" s="88"/>
    </row>
    <row r="1197" spans="24:24" x14ac:dyDescent="0.2">
      <c r="X1197" s="88"/>
    </row>
    <row r="1198" spans="24:24" x14ac:dyDescent="0.2">
      <c r="X1198" s="88"/>
    </row>
    <row r="1199" spans="24:24" x14ac:dyDescent="0.2">
      <c r="X1199" s="88"/>
    </row>
    <row r="1200" spans="24:24" x14ac:dyDescent="0.2">
      <c r="X1200" s="88"/>
    </row>
    <row r="1201" spans="24:24" x14ac:dyDescent="0.2">
      <c r="X1201" s="88"/>
    </row>
    <row r="1202" spans="24:24" x14ac:dyDescent="0.2">
      <c r="X1202" s="88"/>
    </row>
    <row r="1203" spans="24:24" x14ac:dyDescent="0.2">
      <c r="X1203" s="88"/>
    </row>
    <row r="1204" spans="24:24" x14ac:dyDescent="0.2">
      <c r="X1204" s="88"/>
    </row>
    <row r="1205" spans="24:24" x14ac:dyDescent="0.2">
      <c r="X1205" s="88"/>
    </row>
    <row r="1206" spans="24:24" x14ac:dyDescent="0.2">
      <c r="X1206" s="88"/>
    </row>
    <row r="1207" spans="24:24" x14ac:dyDescent="0.2">
      <c r="X1207" s="88"/>
    </row>
    <row r="1208" spans="24:24" x14ac:dyDescent="0.2">
      <c r="X1208" s="88"/>
    </row>
    <row r="1209" spans="24:24" x14ac:dyDescent="0.2">
      <c r="X1209" s="88"/>
    </row>
    <row r="1210" spans="24:24" x14ac:dyDescent="0.2">
      <c r="X1210" s="88"/>
    </row>
    <row r="1211" spans="24:24" x14ac:dyDescent="0.2">
      <c r="X1211" s="88"/>
    </row>
    <row r="1212" spans="24:24" x14ac:dyDescent="0.2">
      <c r="X1212" s="88"/>
    </row>
    <row r="1213" spans="24:24" x14ac:dyDescent="0.2">
      <c r="X1213" s="88"/>
    </row>
    <row r="1214" spans="24:24" x14ac:dyDescent="0.2">
      <c r="X1214" s="88"/>
    </row>
    <row r="1215" spans="24:24" x14ac:dyDescent="0.2">
      <c r="X1215" s="88"/>
    </row>
    <row r="1216" spans="24:24" x14ac:dyDescent="0.2">
      <c r="X1216" s="88"/>
    </row>
    <row r="1217" spans="24:24" x14ac:dyDescent="0.2">
      <c r="X1217" s="88"/>
    </row>
    <row r="1218" spans="24:24" x14ac:dyDescent="0.2">
      <c r="X1218" s="88"/>
    </row>
    <row r="1219" spans="24:24" x14ac:dyDescent="0.2">
      <c r="X1219" s="88"/>
    </row>
    <row r="1220" spans="24:24" x14ac:dyDescent="0.2">
      <c r="X1220" s="88"/>
    </row>
    <row r="1221" spans="24:24" x14ac:dyDescent="0.2">
      <c r="X1221" s="88"/>
    </row>
    <row r="1222" spans="24:24" x14ac:dyDescent="0.2">
      <c r="X1222" s="88"/>
    </row>
    <row r="1223" spans="24:24" x14ac:dyDescent="0.2">
      <c r="X1223" s="88"/>
    </row>
    <row r="1224" spans="24:24" x14ac:dyDescent="0.2">
      <c r="X1224" s="88"/>
    </row>
    <row r="1225" spans="24:24" x14ac:dyDescent="0.2">
      <c r="X1225" s="88"/>
    </row>
    <row r="1226" spans="24:24" x14ac:dyDescent="0.2">
      <c r="X1226" s="88"/>
    </row>
    <row r="1227" spans="24:24" x14ac:dyDescent="0.2">
      <c r="X1227" s="88"/>
    </row>
    <row r="1228" spans="24:24" x14ac:dyDescent="0.2">
      <c r="X1228" s="88"/>
    </row>
    <row r="1229" spans="24:24" x14ac:dyDescent="0.2">
      <c r="X1229" s="88"/>
    </row>
    <row r="1230" spans="24:24" x14ac:dyDescent="0.2">
      <c r="X1230" s="88"/>
    </row>
    <row r="1231" spans="24:24" x14ac:dyDescent="0.2">
      <c r="X1231" s="88"/>
    </row>
    <row r="1232" spans="24:24" x14ac:dyDescent="0.2">
      <c r="X1232" s="88"/>
    </row>
    <row r="1233" spans="24:24" x14ac:dyDescent="0.2">
      <c r="X1233" s="88"/>
    </row>
    <row r="1234" spans="24:24" x14ac:dyDescent="0.2">
      <c r="X1234" s="88"/>
    </row>
    <row r="1235" spans="24:24" x14ac:dyDescent="0.2">
      <c r="X1235" s="88"/>
    </row>
    <row r="1236" spans="24:24" x14ac:dyDescent="0.2">
      <c r="X1236" s="88"/>
    </row>
    <row r="1237" spans="24:24" x14ac:dyDescent="0.2">
      <c r="X1237" s="88"/>
    </row>
    <row r="1238" spans="24:24" x14ac:dyDescent="0.2">
      <c r="X1238" s="88"/>
    </row>
    <row r="1239" spans="24:24" x14ac:dyDescent="0.2">
      <c r="X1239" s="88"/>
    </row>
    <row r="1240" spans="24:24" x14ac:dyDescent="0.2">
      <c r="X1240" s="88"/>
    </row>
    <row r="1241" spans="24:24" x14ac:dyDescent="0.2">
      <c r="X1241" s="88"/>
    </row>
    <row r="1242" spans="24:24" x14ac:dyDescent="0.2">
      <c r="X1242" s="88"/>
    </row>
    <row r="1243" spans="24:24" x14ac:dyDescent="0.2">
      <c r="X1243" s="88"/>
    </row>
    <row r="1244" spans="24:24" x14ac:dyDescent="0.2">
      <c r="X1244" s="88"/>
    </row>
    <row r="1245" spans="24:24" x14ac:dyDescent="0.2">
      <c r="X1245" s="88"/>
    </row>
    <row r="1246" spans="24:24" x14ac:dyDescent="0.2">
      <c r="X1246" s="88"/>
    </row>
    <row r="1247" spans="24:24" x14ac:dyDescent="0.2">
      <c r="X1247" s="88"/>
    </row>
    <row r="1248" spans="24:24" x14ac:dyDescent="0.2">
      <c r="X1248" s="88"/>
    </row>
    <row r="1249" spans="24:24" x14ac:dyDescent="0.2">
      <c r="X1249" s="88"/>
    </row>
    <row r="1250" spans="24:24" x14ac:dyDescent="0.2">
      <c r="X1250" s="88"/>
    </row>
    <row r="1251" spans="24:24" x14ac:dyDescent="0.2">
      <c r="X1251" s="88"/>
    </row>
    <row r="1252" spans="24:24" x14ac:dyDescent="0.2">
      <c r="X1252" s="88"/>
    </row>
    <row r="1253" spans="24:24" x14ac:dyDescent="0.2">
      <c r="X1253" s="88"/>
    </row>
    <row r="1254" spans="24:24" x14ac:dyDescent="0.2">
      <c r="X1254" s="88"/>
    </row>
    <row r="1255" spans="24:24" x14ac:dyDescent="0.2">
      <c r="X1255" s="88"/>
    </row>
    <row r="1256" spans="24:24" x14ac:dyDescent="0.2">
      <c r="X1256" s="88"/>
    </row>
    <row r="1257" spans="24:24" x14ac:dyDescent="0.2">
      <c r="X1257" s="88"/>
    </row>
    <row r="1258" spans="24:24" x14ac:dyDescent="0.2">
      <c r="X1258" s="88"/>
    </row>
    <row r="1259" spans="24:24" x14ac:dyDescent="0.2">
      <c r="X1259" s="88"/>
    </row>
    <row r="1260" spans="24:24" x14ac:dyDescent="0.2">
      <c r="X1260" s="88"/>
    </row>
    <row r="1261" spans="24:24" x14ac:dyDescent="0.2">
      <c r="X1261" s="88"/>
    </row>
    <row r="1262" spans="24:24" x14ac:dyDescent="0.2">
      <c r="X1262" s="88"/>
    </row>
    <row r="1263" spans="24:24" x14ac:dyDescent="0.2">
      <c r="X1263" s="88"/>
    </row>
    <row r="1264" spans="24:24" x14ac:dyDescent="0.2">
      <c r="X1264" s="88"/>
    </row>
    <row r="1265" spans="24:24" x14ac:dyDescent="0.2">
      <c r="X1265" s="88"/>
    </row>
    <row r="1266" spans="24:24" x14ac:dyDescent="0.2">
      <c r="X1266" s="88"/>
    </row>
    <row r="1267" spans="24:24" x14ac:dyDescent="0.2">
      <c r="X1267" s="88"/>
    </row>
    <row r="1268" spans="24:24" x14ac:dyDescent="0.2">
      <c r="X1268" s="88"/>
    </row>
    <row r="1269" spans="24:24" x14ac:dyDescent="0.2">
      <c r="X1269" s="88"/>
    </row>
    <row r="1270" spans="24:24" x14ac:dyDescent="0.2">
      <c r="X1270" s="88"/>
    </row>
    <row r="1271" spans="24:24" x14ac:dyDescent="0.2">
      <c r="X1271" s="88"/>
    </row>
    <row r="1272" spans="24:24" x14ac:dyDescent="0.2">
      <c r="X1272" s="88"/>
    </row>
    <row r="1273" spans="24:24" x14ac:dyDescent="0.2">
      <c r="X1273" s="88"/>
    </row>
    <row r="1274" spans="24:24" x14ac:dyDescent="0.2">
      <c r="X1274" s="88"/>
    </row>
    <row r="1275" spans="24:24" x14ac:dyDescent="0.2">
      <c r="X1275" s="88"/>
    </row>
    <row r="1276" spans="24:24" x14ac:dyDescent="0.2">
      <c r="X1276" s="88"/>
    </row>
    <row r="1277" spans="24:24" x14ac:dyDescent="0.2">
      <c r="X1277" s="88"/>
    </row>
    <row r="1278" spans="24:24" x14ac:dyDescent="0.2">
      <c r="X1278" s="88"/>
    </row>
    <row r="1279" spans="24:24" x14ac:dyDescent="0.2">
      <c r="X1279" s="88"/>
    </row>
    <row r="1280" spans="24:24" x14ac:dyDescent="0.2">
      <c r="X1280" s="88"/>
    </row>
    <row r="1281" spans="24:24" x14ac:dyDescent="0.2">
      <c r="X1281" s="88"/>
    </row>
    <row r="1282" spans="24:24" x14ac:dyDescent="0.2">
      <c r="X1282" s="88"/>
    </row>
    <row r="1283" spans="24:24" x14ac:dyDescent="0.2">
      <c r="X1283" s="88"/>
    </row>
    <row r="1284" spans="24:24" x14ac:dyDescent="0.2">
      <c r="X1284" s="88"/>
    </row>
    <row r="1285" spans="24:24" x14ac:dyDescent="0.2">
      <c r="X1285" s="88"/>
    </row>
    <row r="1286" spans="24:24" x14ac:dyDescent="0.2">
      <c r="X1286" s="88"/>
    </row>
    <row r="1287" spans="24:24" x14ac:dyDescent="0.2">
      <c r="X1287" s="88"/>
    </row>
    <row r="1288" spans="24:24" x14ac:dyDescent="0.2">
      <c r="X1288" s="88"/>
    </row>
    <row r="1289" spans="24:24" x14ac:dyDescent="0.2">
      <c r="X1289" s="88"/>
    </row>
    <row r="1290" spans="24:24" x14ac:dyDescent="0.2">
      <c r="X1290" s="88"/>
    </row>
    <row r="1291" spans="24:24" x14ac:dyDescent="0.2">
      <c r="X1291" s="88"/>
    </row>
    <row r="1292" spans="24:24" x14ac:dyDescent="0.2">
      <c r="X1292" s="88"/>
    </row>
    <row r="1293" spans="24:24" x14ac:dyDescent="0.2">
      <c r="X1293" s="88"/>
    </row>
    <row r="1294" spans="24:24" x14ac:dyDescent="0.2">
      <c r="X1294" s="88"/>
    </row>
    <row r="1295" spans="24:24" x14ac:dyDescent="0.2">
      <c r="X1295" s="88"/>
    </row>
    <row r="1296" spans="24:24" x14ac:dyDescent="0.2">
      <c r="X1296" s="88"/>
    </row>
    <row r="1297" spans="24:24" x14ac:dyDescent="0.2">
      <c r="X1297" s="88"/>
    </row>
    <row r="1298" spans="24:24" x14ac:dyDescent="0.2">
      <c r="X1298" s="88"/>
    </row>
    <row r="1299" spans="24:24" x14ac:dyDescent="0.2">
      <c r="X1299" s="88"/>
    </row>
    <row r="1300" spans="24:24" x14ac:dyDescent="0.2">
      <c r="X1300" s="88"/>
    </row>
    <row r="1301" spans="24:24" x14ac:dyDescent="0.2">
      <c r="X1301" s="88"/>
    </row>
    <row r="1302" spans="24:24" x14ac:dyDescent="0.2">
      <c r="X1302" s="88"/>
    </row>
    <row r="1303" spans="24:24" x14ac:dyDescent="0.2">
      <c r="X1303" s="88"/>
    </row>
    <row r="1304" spans="24:24" x14ac:dyDescent="0.2">
      <c r="X1304" s="88"/>
    </row>
    <row r="1305" spans="24:24" x14ac:dyDescent="0.2">
      <c r="X1305" s="88"/>
    </row>
    <row r="1306" spans="24:24" x14ac:dyDescent="0.2">
      <c r="X1306" s="88"/>
    </row>
    <row r="1307" spans="24:24" x14ac:dyDescent="0.2">
      <c r="X1307" s="88"/>
    </row>
    <row r="1308" spans="24:24" x14ac:dyDescent="0.2">
      <c r="X1308" s="88"/>
    </row>
    <row r="1309" spans="24:24" x14ac:dyDescent="0.2">
      <c r="X1309" s="88"/>
    </row>
    <row r="1310" spans="24:24" x14ac:dyDescent="0.2">
      <c r="X1310" s="88"/>
    </row>
    <row r="1311" spans="24:24" x14ac:dyDescent="0.2">
      <c r="X1311" s="88"/>
    </row>
    <row r="1312" spans="24:24" x14ac:dyDescent="0.2">
      <c r="X1312" s="88"/>
    </row>
    <row r="1313" spans="24:24" x14ac:dyDescent="0.2">
      <c r="X1313" s="88"/>
    </row>
    <row r="1314" spans="24:24" x14ac:dyDescent="0.2">
      <c r="X1314" s="88"/>
    </row>
    <row r="1315" spans="24:24" x14ac:dyDescent="0.2">
      <c r="X1315" s="88"/>
    </row>
    <row r="1316" spans="24:24" x14ac:dyDescent="0.2">
      <c r="X1316" s="88"/>
    </row>
    <row r="1317" spans="24:24" x14ac:dyDescent="0.2">
      <c r="X1317" s="88"/>
    </row>
    <row r="1318" spans="24:24" x14ac:dyDescent="0.2">
      <c r="X1318" s="88"/>
    </row>
    <row r="1319" spans="24:24" x14ac:dyDescent="0.2">
      <c r="X1319" s="88"/>
    </row>
    <row r="1320" spans="24:24" x14ac:dyDescent="0.2">
      <c r="X1320" s="88"/>
    </row>
    <row r="1321" spans="24:24" x14ac:dyDescent="0.2">
      <c r="X1321" s="88"/>
    </row>
    <row r="1322" spans="24:24" x14ac:dyDescent="0.2">
      <c r="X1322" s="88"/>
    </row>
    <row r="1323" spans="24:24" x14ac:dyDescent="0.2">
      <c r="X1323" s="88"/>
    </row>
    <row r="1324" spans="24:24" x14ac:dyDescent="0.2">
      <c r="X1324" s="88"/>
    </row>
    <row r="1325" spans="24:24" x14ac:dyDescent="0.2">
      <c r="X1325" s="88"/>
    </row>
    <row r="1326" spans="24:24" x14ac:dyDescent="0.2">
      <c r="X1326" s="88"/>
    </row>
    <row r="1327" spans="24:24" x14ac:dyDescent="0.2">
      <c r="X1327" s="88"/>
    </row>
    <row r="1328" spans="24:24" x14ac:dyDescent="0.2">
      <c r="X1328" s="88"/>
    </row>
    <row r="1329" spans="24:24" x14ac:dyDescent="0.2">
      <c r="X1329" s="88"/>
    </row>
    <row r="1330" spans="24:24" x14ac:dyDescent="0.2">
      <c r="X1330" s="88"/>
    </row>
    <row r="1331" spans="24:24" x14ac:dyDescent="0.2">
      <c r="X1331" s="88"/>
    </row>
    <row r="1332" spans="24:24" x14ac:dyDescent="0.2">
      <c r="X1332" s="88"/>
    </row>
    <row r="1333" spans="24:24" x14ac:dyDescent="0.2">
      <c r="X1333" s="88"/>
    </row>
    <row r="1334" spans="24:24" x14ac:dyDescent="0.2">
      <c r="X1334" s="88"/>
    </row>
    <row r="1335" spans="24:24" x14ac:dyDescent="0.2">
      <c r="X1335" s="88"/>
    </row>
    <row r="1336" spans="24:24" x14ac:dyDescent="0.2">
      <c r="X1336" s="88"/>
    </row>
    <row r="1337" spans="24:24" x14ac:dyDescent="0.2">
      <c r="X1337" s="88"/>
    </row>
    <row r="1338" spans="24:24" x14ac:dyDescent="0.2">
      <c r="X1338" s="88"/>
    </row>
    <row r="1339" spans="24:24" x14ac:dyDescent="0.2">
      <c r="X1339" s="88"/>
    </row>
    <row r="1340" spans="24:24" x14ac:dyDescent="0.2">
      <c r="X1340" s="88"/>
    </row>
    <row r="1341" spans="24:24" x14ac:dyDescent="0.2">
      <c r="X1341" s="88"/>
    </row>
    <row r="1342" spans="24:24" x14ac:dyDescent="0.2">
      <c r="X1342" s="88"/>
    </row>
    <row r="1343" spans="24:24" x14ac:dyDescent="0.2">
      <c r="X1343" s="88"/>
    </row>
    <row r="1344" spans="24:24" x14ac:dyDescent="0.2">
      <c r="X1344" s="88"/>
    </row>
    <row r="1345" spans="24:24" x14ac:dyDescent="0.2">
      <c r="X1345" s="88"/>
    </row>
    <row r="1346" spans="24:24" x14ac:dyDescent="0.2">
      <c r="X1346" s="88"/>
    </row>
    <row r="1347" spans="24:24" x14ac:dyDescent="0.2">
      <c r="X1347" s="88"/>
    </row>
    <row r="1348" spans="24:24" x14ac:dyDescent="0.2">
      <c r="X1348" s="88"/>
    </row>
    <row r="1349" spans="24:24" x14ac:dyDescent="0.2">
      <c r="X1349" s="88"/>
    </row>
    <row r="1350" spans="24:24" x14ac:dyDescent="0.2">
      <c r="X1350" s="88"/>
    </row>
    <row r="1351" spans="24:24" x14ac:dyDescent="0.2">
      <c r="X1351" s="88"/>
    </row>
    <row r="1352" spans="24:24" x14ac:dyDescent="0.2">
      <c r="X1352" s="88"/>
    </row>
    <row r="1353" spans="24:24" x14ac:dyDescent="0.2">
      <c r="X1353" s="88"/>
    </row>
    <row r="1354" spans="24:24" x14ac:dyDescent="0.2">
      <c r="X1354" s="88"/>
    </row>
    <row r="1355" spans="24:24" x14ac:dyDescent="0.2">
      <c r="X1355" s="88"/>
    </row>
    <row r="1356" spans="24:24" x14ac:dyDescent="0.2">
      <c r="X1356" s="88"/>
    </row>
    <row r="1357" spans="24:24" x14ac:dyDescent="0.2">
      <c r="X1357" s="88"/>
    </row>
    <row r="1358" spans="24:24" x14ac:dyDescent="0.2">
      <c r="X1358" s="88"/>
    </row>
    <row r="1359" spans="24:24" x14ac:dyDescent="0.2">
      <c r="X1359" s="88"/>
    </row>
    <row r="1360" spans="24:24" x14ac:dyDescent="0.2">
      <c r="X1360" s="88"/>
    </row>
    <row r="1361" spans="24:24" x14ac:dyDescent="0.2">
      <c r="X1361" s="88"/>
    </row>
    <row r="1362" spans="24:24" x14ac:dyDescent="0.2">
      <c r="X1362" s="88"/>
    </row>
    <row r="1363" spans="24:24" x14ac:dyDescent="0.2">
      <c r="X1363" s="88"/>
    </row>
    <row r="1364" spans="24:24" x14ac:dyDescent="0.2">
      <c r="X1364" s="88"/>
    </row>
    <row r="1365" spans="24:24" x14ac:dyDescent="0.2">
      <c r="X1365" s="88"/>
    </row>
    <row r="1366" spans="24:24" x14ac:dyDescent="0.2">
      <c r="X1366" s="88"/>
    </row>
    <row r="1367" spans="24:24" x14ac:dyDescent="0.2">
      <c r="X1367" s="88"/>
    </row>
    <row r="1368" spans="24:24" x14ac:dyDescent="0.2">
      <c r="X1368" s="88"/>
    </row>
    <row r="1369" spans="24:24" x14ac:dyDescent="0.2">
      <c r="X1369" s="88"/>
    </row>
    <row r="1370" spans="24:24" x14ac:dyDescent="0.2">
      <c r="X1370" s="88"/>
    </row>
    <row r="1371" spans="24:24" x14ac:dyDescent="0.2">
      <c r="X1371" s="88"/>
    </row>
    <row r="1372" spans="24:24" x14ac:dyDescent="0.2">
      <c r="X1372" s="88"/>
    </row>
    <row r="1373" spans="24:24" x14ac:dyDescent="0.2">
      <c r="X1373" s="88"/>
    </row>
    <row r="1374" spans="24:24" x14ac:dyDescent="0.2">
      <c r="X1374" s="88"/>
    </row>
    <row r="1375" spans="24:24" x14ac:dyDescent="0.2">
      <c r="X1375" s="88"/>
    </row>
    <row r="1376" spans="24:24" x14ac:dyDescent="0.2">
      <c r="X1376" s="88"/>
    </row>
    <row r="1377" spans="24:24" x14ac:dyDescent="0.2">
      <c r="X1377" s="88"/>
    </row>
    <row r="1378" spans="24:24" x14ac:dyDescent="0.2">
      <c r="X1378" s="88"/>
    </row>
    <row r="1379" spans="24:24" x14ac:dyDescent="0.2">
      <c r="X1379" s="88"/>
    </row>
    <row r="1380" spans="24:24" x14ac:dyDescent="0.2">
      <c r="X1380" s="88"/>
    </row>
    <row r="1381" spans="24:24" x14ac:dyDescent="0.2">
      <c r="X1381" s="88"/>
    </row>
    <row r="1382" spans="24:24" x14ac:dyDescent="0.2">
      <c r="X1382" s="88"/>
    </row>
    <row r="1383" spans="24:24" x14ac:dyDescent="0.2">
      <c r="X1383" s="88"/>
    </row>
    <row r="1384" spans="24:24" x14ac:dyDescent="0.2">
      <c r="X1384" s="88"/>
    </row>
    <row r="1385" spans="24:24" x14ac:dyDescent="0.2">
      <c r="X1385" s="88"/>
    </row>
    <row r="1386" spans="24:24" x14ac:dyDescent="0.2">
      <c r="X1386" s="88"/>
    </row>
    <row r="1387" spans="24:24" x14ac:dyDescent="0.2">
      <c r="X1387" s="88"/>
    </row>
    <row r="1388" spans="24:24" x14ac:dyDescent="0.2">
      <c r="X1388" s="88"/>
    </row>
    <row r="1389" spans="24:24" x14ac:dyDescent="0.2">
      <c r="X1389" s="88"/>
    </row>
    <row r="1390" spans="24:24" x14ac:dyDescent="0.2">
      <c r="X1390" s="88"/>
    </row>
    <row r="1391" spans="24:24" x14ac:dyDescent="0.2">
      <c r="X1391" s="88"/>
    </row>
    <row r="1392" spans="24:24" x14ac:dyDescent="0.2">
      <c r="X1392" s="88"/>
    </row>
    <row r="1393" spans="24:24" x14ac:dyDescent="0.2">
      <c r="X1393" s="88"/>
    </row>
    <row r="1394" spans="24:24" x14ac:dyDescent="0.2">
      <c r="X1394" s="88"/>
    </row>
    <row r="1395" spans="24:24" x14ac:dyDescent="0.2">
      <c r="X1395" s="88"/>
    </row>
    <row r="1396" spans="24:24" x14ac:dyDescent="0.2">
      <c r="X1396" s="88"/>
    </row>
    <row r="1397" spans="24:24" x14ac:dyDescent="0.2">
      <c r="X1397" s="88"/>
    </row>
    <row r="1398" spans="24:24" x14ac:dyDescent="0.2">
      <c r="X1398" s="88"/>
    </row>
    <row r="1399" spans="24:24" x14ac:dyDescent="0.2">
      <c r="X1399" s="88"/>
    </row>
    <row r="1400" spans="24:24" x14ac:dyDescent="0.2">
      <c r="X1400" s="88"/>
    </row>
    <row r="1401" spans="24:24" x14ac:dyDescent="0.2">
      <c r="X1401" s="88"/>
    </row>
    <row r="1402" spans="24:24" x14ac:dyDescent="0.2">
      <c r="X1402" s="88"/>
    </row>
    <row r="1403" spans="24:24" x14ac:dyDescent="0.2">
      <c r="X1403" s="88"/>
    </row>
    <row r="1404" spans="24:24" x14ac:dyDescent="0.2">
      <c r="X1404" s="88"/>
    </row>
    <row r="1405" spans="24:24" x14ac:dyDescent="0.2">
      <c r="X1405" s="88"/>
    </row>
    <row r="1406" spans="24:24" x14ac:dyDescent="0.2">
      <c r="X1406" s="88"/>
    </row>
    <row r="1407" spans="24:24" x14ac:dyDescent="0.2">
      <c r="X1407" s="88"/>
    </row>
    <row r="1408" spans="24:24" x14ac:dyDescent="0.2">
      <c r="X1408" s="88"/>
    </row>
    <row r="1409" spans="24:24" x14ac:dyDescent="0.2">
      <c r="X1409" s="88"/>
    </row>
    <row r="1410" spans="24:24" x14ac:dyDescent="0.2">
      <c r="X1410" s="88"/>
    </row>
    <row r="1411" spans="24:24" x14ac:dyDescent="0.2">
      <c r="X1411" s="88"/>
    </row>
    <row r="1412" spans="24:24" x14ac:dyDescent="0.2">
      <c r="X1412" s="88"/>
    </row>
    <row r="1413" spans="24:24" x14ac:dyDescent="0.2">
      <c r="X1413" s="88"/>
    </row>
    <row r="1414" spans="24:24" x14ac:dyDescent="0.2">
      <c r="X1414" s="88"/>
    </row>
    <row r="1415" spans="24:24" x14ac:dyDescent="0.2">
      <c r="X1415" s="88"/>
    </row>
    <row r="1416" spans="24:24" x14ac:dyDescent="0.2">
      <c r="X1416" s="88"/>
    </row>
    <row r="1417" spans="24:24" x14ac:dyDescent="0.2">
      <c r="X1417" s="88"/>
    </row>
    <row r="1418" spans="24:24" x14ac:dyDescent="0.2">
      <c r="X1418" s="88"/>
    </row>
    <row r="1419" spans="24:24" x14ac:dyDescent="0.2">
      <c r="X1419" s="88"/>
    </row>
    <row r="1420" spans="24:24" x14ac:dyDescent="0.2">
      <c r="X1420" s="88"/>
    </row>
    <row r="1421" spans="24:24" x14ac:dyDescent="0.2">
      <c r="X1421" s="88"/>
    </row>
    <row r="1422" spans="24:24" x14ac:dyDescent="0.2">
      <c r="X1422" s="88"/>
    </row>
    <row r="1423" spans="24:24" x14ac:dyDescent="0.2">
      <c r="X1423" s="88"/>
    </row>
    <row r="1424" spans="24:24" x14ac:dyDescent="0.2">
      <c r="X1424" s="88"/>
    </row>
    <row r="1425" spans="24:24" x14ac:dyDescent="0.2">
      <c r="X1425" s="88"/>
    </row>
    <row r="1426" spans="24:24" x14ac:dyDescent="0.2">
      <c r="X1426" s="88"/>
    </row>
    <row r="1427" spans="24:24" x14ac:dyDescent="0.2">
      <c r="X1427" s="88"/>
    </row>
    <row r="1428" spans="24:24" x14ac:dyDescent="0.2">
      <c r="X1428" s="88"/>
    </row>
    <row r="1429" spans="24:24" x14ac:dyDescent="0.2">
      <c r="X1429" s="88"/>
    </row>
    <row r="1430" spans="24:24" x14ac:dyDescent="0.2">
      <c r="X1430" s="88"/>
    </row>
    <row r="1431" spans="24:24" x14ac:dyDescent="0.2">
      <c r="X1431" s="88"/>
    </row>
    <row r="1432" spans="24:24" x14ac:dyDescent="0.2">
      <c r="X1432" s="88"/>
    </row>
    <row r="1433" spans="24:24" x14ac:dyDescent="0.2">
      <c r="X1433" s="88"/>
    </row>
    <row r="1434" spans="24:24" x14ac:dyDescent="0.2">
      <c r="X1434" s="88"/>
    </row>
    <row r="1435" spans="24:24" x14ac:dyDescent="0.2">
      <c r="X1435" s="88"/>
    </row>
    <row r="1436" spans="24:24" x14ac:dyDescent="0.2">
      <c r="X1436" s="88"/>
    </row>
    <row r="1437" spans="24:24" x14ac:dyDescent="0.2">
      <c r="X1437" s="88"/>
    </row>
    <row r="1438" spans="24:24" x14ac:dyDescent="0.2">
      <c r="X1438" s="88"/>
    </row>
    <row r="1439" spans="24:24" x14ac:dyDescent="0.2">
      <c r="X1439" s="88"/>
    </row>
    <row r="1440" spans="24:24" x14ac:dyDescent="0.2">
      <c r="X1440" s="88"/>
    </row>
    <row r="1441" spans="24:24" x14ac:dyDescent="0.2">
      <c r="X1441" s="88"/>
    </row>
    <row r="1442" spans="24:24" x14ac:dyDescent="0.2">
      <c r="X1442" s="88"/>
    </row>
    <row r="1443" spans="24:24" x14ac:dyDescent="0.2">
      <c r="X1443" s="88"/>
    </row>
    <row r="1444" spans="24:24" x14ac:dyDescent="0.2">
      <c r="X1444" s="88"/>
    </row>
    <row r="1445" spans="24:24" x14ac:dyDescent="0.2">
      <c r="X1445" s="88"/>
    </row>
    <row r="1446" spans="24:24" x14ac:dyDescent="0.2">
      <c r="X1446" s="88"/>
    </row>
    <row r="1447" spans="24:24" x14ac:dyDescent="0.2">
      <c r="X1447" s="88"/>
    </row>
    <row r="1448" spans="24:24" x14ac:dyDescent="0.2">
      <c r="X1448" s="88"/>
    </row>
    <row r="1449" spans="24:24" x14ac:dyDescent="0.2">
      <c r="X1449" s="88"/>
    </row>
    <row r="1450" spans="24:24" x14ac:dyDescent="0.2">
      <c r="X1450" s="88"/>
    </row>
    <row r="1451" spans="24:24" x14ac:dyDescent="0.2">
      <c r="X1451" s="88"/>
    </row>
    <row r="1452" spans="24:24" x14ac:dyDescent="0.2">
      <c r="X1452" s="88"/>
    </row>
    <row r="1453" spans="24:24" x14ac:dyDescent="0.2">
      <c r="X1453" s="88"/>
    </row>
    <row r="1454" spans="24:24" x14ac:dyDescent="0.2">
      <c r="X1454" s="88"/>
    </row>
    <row r="1455" spans="24:24" x14ac:dyDescent="0.2">
      <c r="X1455" s="88"/>
    </row>
    <row r="1456" spans="24:24" x14ac:dyDescent="0.2">
      <c r="X1456" s="88"/>
    </row>
    <row r="1457" spans="24:24" x14ac:dyDescent="0.2">
      <c r="X1457" s="88"/>
    </row>
    <row r="1458" spans="24:24" x14ac:dyDescent="0.2">
      <c r="X1458" s="88"/>
    </row>
    <row r="1459" spans="24:24" x14ac:dyDescent="0.2">
      <c r="X1459" s="88"/>
    </row>
    <row r="1460" spans="24:24" x14ac:dyDescent="0.2">
      <c r="X1460" s="88"/>
    </row>
    <row r="1461" spans="24:24" x14ac:dyDescent="0.2">
      <c r="X1461" s="88"/>
    </row>
    <row r="1462" spans="24:24" x14ac:dyDescent="0.2">
      <c r="X1462" s="88"/>
    </row>
    <row r="1463" spans="24:24" x14ac:dyDescent="0.2">
      <c r="X1463" s="88"/>
    </row>
    <row r="1464" spans="24:24" x14ac:dyDescent="0.2">
      <c r="X1464" s="88"/>
    </row>
    <row r="1465" spans="24:24" x14ac:dyDescent="0.2">
      <c r="X1465" s="88"/>
    </row>
    <row r="1466" spans="24:24" x14ac:dyDescent="0.2">
      <c r="X1466" s="88"/>
    </row>
    <row r="1467" spans="24:24" x14ac:dyDescent="0.2">
      <c r="X1467" s="88"/>
    </row>
    <row r="1468" spans="24:24" x14ac:dyDescent="0.2">
      <c r="X1468" s="88"/>
    </row>
    <row r="1469" spans="24:24" x14ac:dyDescent="0.2">
      <c r="X1469" s="88"/>
    </row>
    <row r="1470" spans="24:24" x14ac:dyDescent="0.2">
      <c r="X1470" s="88"/>
    </row>
    <row r="1471" spans="24:24" x14ac:dyDescent="0.2">
      <c r="X1471" s="88"/>
    </row>
    <row r="1472" spans="24:24" x14ac:dyDescent="0.2">
      <c r="X1472" s="88"/>
    </row>
    <row r="1473" spans="24:24" x14ac:dyDescent="0.2">
      <c r="X1473" s="88"/>
    </row>
    <row r="1474" spans="24:24" x14ac:dyDescent="0.2">
      <c r="X1474" s="88"/>
    </row>
    <row r="1475" spans="24:24" x14ac:dyDescent="0.2">
      <c r="X1475" s="88"/>
    </row>
    <row r="1476" spans="24:24" x14ac:dyDescent="0.2">
      <c r="X1476" s="88"/>
    </row>
    <row r="1477" spans="24:24" x14ac:dyDescent="0.2">
      <c r="X1477" s="88"/>
    </row>
    <row r="1478" spans="24:24" x14ac:dyDescent="0.2">
      <c r="X1478" s="88"/>
    </row>
    <row r="1479" spans="24:24" x14ac:dyDescent="0.2">
      <c r="X1479" s="88"/>
    </row>
    <row r="1480" spans="24:24" x14ac:dyDescent="0.2">
      <c r="X1480" s="88"/>
    </row>
    <row r="1481" spans="24:24" x14ac:dyDescent="0.2">
      <c r="X1481" s="88"/>
    </row>
    <row r="1482" spans="24:24" x14ac:dyDescent="0.2">
      <c r="X1482" s="88"/>
    </row>
    <row r="1483" spans="24:24" x14ac:dyDescent="0.2">
      <c r="X1483" s="88"/>
    </row>
    <row r="1484" spans="24:24" x14ac:dyDescent="0.2">
      <c r="X1484" s="88"/>
    </row>
    <row r="1485" spans="24:24" x14ac:dyDescent="0.2">
      <c r="X1485" s="88"/>
    </row>
    <row r="1486" spans="24:24" x14ac:dyDescent="0.2">
      <c r="X1486" s="88"/>
    </row>
    <row r="1487" spans="24:24" x14ac:dyDescent="0.2">
      <c r="X1487" s="88"/>
    </row>
    <row r="1488" spans="24:24" x14ac:dyDescent="0.2">
      <c r="X1488" s="88"/>
    </row>
    <row r="1489" spans="24:24" x14ac:dyDescent="0.2">
      <c r="X1489" s="88"/>
    </row>
    <row r="1490" spans="24:24" x14ac:dyDescent="0.2">
      <c r="X1490" s="88"/>
    </row>
    <row r="1491" spans="24:24" x14ac:dyDescent="0.2">
      <c r="X1491" s="88"/>
    </row>
    <row r="1492" spans="24:24" x14ac:dyDescent="0.2">
      <c r="X1492" s="88"/>
    </row>
    <row r="1493" spans="24:24" x14ac:dyDescent="0.2">
      <c r="X1493" s="88"/>
    </row>
    <row r="1494" spans="24:24" x14ac:dyDescent="0.2">
      <c r="X1494" s="88"/>
    </row>
    <row r="1495" spans="24:24" x14ac:dyDescent="0.2">
      <c r="X1495" s="88"/>
    </row>
    <row r="1496" spans="24:24" x14ac:dyDescent="0.2">
      <c r="X1496" s="88"/>
    </row>
    <row r="1497" spans="24:24" x14ac:dyDescent="0.2">
      <c r="X1497" s="88"/>
    </row>
    <row r="1498" spans="24:24" x14ac:dyDescent="0.2">
      <c r="X1498" s="88"/>
    </row>
    <row r="1499" spans="24:24" x14ac:dyDescent="0.2">
      <c r="X1499" s="88"/>
    </row>
    <row r="1500" spans="24:24" x14ac:dyDescent="0.2">
      <c r="X1500" s="88"/>
    </row>
    <row r="1501" spans="24:24" x14ac:dyDescent="0.2">
      <c r="X1501" s="88"/>
    </row>
    <row r="1502" spans="24:24" x14ac:dyDescent="0.2">
      <c r="X1502" s="88"/>
    </row>
    <row r="1503" spans="24:24" x14ac:dyDescent="0.2">
      <c r="X1503" s="88"/>
    </row>
    <row r="1504" spans="24:24" x14ac:dyDescent="0.2">
      <c r="X1504" s="88"/>
    </row>
    <row r="1505" spans="24:24" x14ac:dyDescent="0.2">
      <c r="X1505" s="88"/>
    </row>
    <row r="1506" spans="24:24" x14ac:dyDescent="0.2">
      <c r="X1506" s="88"/>
    </row>
    <row r="1507" spans="24:24" x14ac:dyDescent="0.2">
      <c r="X1507" s="88"/>
    </row>
    <row r="1508" spans="24:24" x14ac:dyDescent="0.2">
      <c r="X1508" s="88"/>
    </row>
    <row r="1509" spans="24:24" x14ac:dyDescent="0.2">
      <c r="X1509" s="88"/>
    </row>
    <row r="1510" spans="24:24" x14ac:dyDescent="0.2">
      <c r="X1510" s="88"/>
    </row>
    <row r="1511" spans="24:24" x14ac:dyDescent="0.2">
      <c r="X1511" s="88"/>
    </row>
    <row r="1512" spans="24:24" x14ac:dyDescent="0.2">
      <c r="X1512" s="88"/>
    </row>
    <row r="1513" spans="24:24" x14ac:dyDescent="0.2">
      <c r="X1513" s="88"/>
    </row>
    <row r="1514" spans="24:24" x14ac:dyDescent="0.2">
      <c r="X1514" s="88"/>
    </row>
    <row r="1515" spans="24:24" x14ac:dyDescent="0.2">
      <c r="X1515" s="88"/>
    </row>
    <row r="1516" spans="24:24" x14ac:dyDescent="0.2">
      <c r="X1516" s="88"/>
    </row>
    <row r="1517" spans="24:24" x14ac:dyDescent="0.2">
      <c r="X1517" s="88"/>
    </row>
    <row r="1518" spans="24:24" x14ac:dyDescent="0.2">
      <c r="X1518" s="88"/>
    </row>
    <row r="1519" spans="24:24" x14ac:dyDescent="0.2">
      <c r="X1519" s="88"/>
    </row>
    <row r="1520" spans="24:24" x14ac:dyDescent="0.2">
      <c r="X1520" s="88"/>
    </row>
    <row r="1521" spans="24:24" x14ac:dyDescent="0.2">
      <c r="X1521" s="88"/>
    </row>
    <row r="1522" spans="24:24" x14ac:dyDescent="0.2">
      <c r="X1522" s="88"/>
    </row>
    <row r="1523" spans="24:24" x14ac:dyDescent="0.2">
      <c r="X1523" s="88"/>
    </row>
    <row r="1524" spans="24:24" x14ac:dyDescent="0.2">
      <c r="X1524" s="88"/>
    </row>
    <row r="1525" spans="24:24" x14ac:dyDescent="0.2">
      <c r="X1525" s="88"/>
    </row>
    <row r="1526" spans="24:24" x14ac:dyDescent="0.2">
      <c r="X1526" s="88"/>
    </row>
    <row r="1527" spans="24:24" x14ac:dyDescent="0.2">
      <c r="X1527" s="88"/>
    </row>
    <row r="1528" spans="24:24" x14ac:dyDescent="0.2">
      <c r="X1528" s="88"/>
    </row>
    <row r="1529" spans="24:24" x14ac:dyDescent="0.2">
      <c r="X1529" s="88"/>
    </row>
    <row r="1530" spans="24:24" x14ac:dyDescent="0.2">
      <c r="X1530" s="88"/>
    </row>
    <row r="1531" spans="24:24" x14ac:dyDescent="0.2">
      <c r="X1531" s="88"/>
    </row>
    <row r="1532" spans="24:24" x14ac:dyDescent="0.2">
      <c r="X1532" s="88"/>
    </row>
    <row r="1533" spans="24:24" x14ac:dyDescent="0.2">
      <c r="X1533" s="88"/>
    </row>
    <row r="1534" spans="24:24" x14ac:dyDescent="0.2">
      <c r="X1534" s="88"/>
    </row>
    <row r="1535" spans="24:24" x14ac:dyDescent="0.2">
      <c r="X1535" s="88"/>
    </row>
    <row r="1536" spans="24:24" x14ac:dyDescent="0.2">
      <c r="X1536" s="88"/>
    </row>
    <row r="1537" spans="24:24" x14ac:dyDescent="0.2">
      <c r="X1537" s="88"/>
    </row>
    <row r="1538" spans="24:24" x14ac:dyDescent="0.2">
      <c r="X1538" s="88"/>
    </row>
    <row r="1539" spans="24:24" x14ac:dyDescent="0.2">
      <c r="X1539" s="88"/>
    </row>
    <row r="1540" spans="24:24" x14ac:dyDescent="0.2">
      <c r="X1540" s="88"/>
    </row>
    <row r="1541" spans="24:24" x14ac:dyDescent="0.2">
      <c r="X1541" s="88"/>
    </row>
    <row r="1542" spans="24:24" x14ac:dyDescent="0.2">
      <c r="X1542" s="88"/>
    </row>
    <row r="1543" spans="24:24" x14ac:dyDescent="0.2">
      <c r="X1543" s="88"/>
    </row>
    <row r="1544" spans="24:24" x14ac:dyDescent="0.2">
      <c r="X1544" s="88"/>
    </row>
    <row r="1545" spans="24:24" x14ac:dyDescent="0.2">
      <c r="X1545" s="88"/>
    </row>
    <row r="1546" spans="24:24" x14ac:dyDescent="0.2">
      <c r="X1546" s="88"/>
    </row>
    <row r="1547" spans="24:24" x14ac:dyDescent="0.2">
      <c r="X1547" s="88"/>
    </row>
    <row r="1548" spans="24:24" x14ac:dyDescent="0.2">
      <c r="X1548" s="88"/>
    </row>
    <row r="1549" spans="24:24" x14ac:dyDescent="0.2">
      <c r="X1549" s="88"/>
    </row>
    <row r="1550" spans="24:24" x14ac:dyDescent="0.2">
      <c r="X1550" s="88"/>
    </row>
    <row r="1551" spans="24:24" x14ac:dyDescent="0.2">
      <c r="X1551" s="88"/>
    </row>
    <row r="1552" spans="24:24" x14ac:dyDescent="0.2">
      <c r="X1552" s="88"/>
    </row>
    <row r="1553" spans="24:24" x14ac:dyDescent="0.2">
      <c r="X1553" s="88"/>
    </row>
    <row r="1554" spans="24:24" x14ac:dyDescent="0.2">
      <c r="X1554" s="88"/>
    </row>
    <row r="1555" spans="24:24" x14ac:dyDescent="0.2">
      <c r="X1555" s="88"/>
    </row>
    <row r="1556" spans="24:24" x14ac:dyDescent="0.2">
      <c r="X1556" s="88"/>
    </row>
    <row r="1557" spans="24:24" x14ac:dyDescent="0.2">
      <c r="X1557" s="88"/>
    </row>
    <row r="1558" spans="24:24" x14ac:dyDescent="0.2">
      <c r="X1558" s="88"/>
    </row>
    <row r="1559" spans="24:24" x14ac:dyDescent="0.2">
      <c r="X1559" s="88"/>
    </row>
    <row r="1560" spans="24:24" x14ac:dyDescent="0.2">
      <c r="X1560" s="88"/>
    </row>
    <row r="1561" spans="24:24" x14ac:dyDescent="0.2">
      <c r="X1561" s="88"/>
    </row>
    <row r="1562" spans="24:24" x14ac:dyDescent="0.2">
      <c r="X1562" s="88"/>
    </row>
    <row r="1563" spans="24:24" x14ac:dyDescent="0.2">
      <c r="X1563" s="88"/>
    </row>
    <row r="1564" spans="24:24" x14ac:dyDescent="0.2">
      <c r="X1564" s="88"/>
    </row>
    <row r="1565" spans="24:24" x14ac:dyDescent="0.2">
      <c r="X1565" s="88"/>
    </row>
    <row r="1566" spans="24:24" x14ac:dyDescent="0.2">
      <c r="X1566" s="88"/>
    </row>
    <row r="1567" spans="24:24" x14ac:dyDescent="0.2">
      <c r="X1567" s="88"/>
    </row>
    <row r="1568" spans="24:24" x14ac:dyDescent="0.2">
      <c r="X1568" s="88"/>
    </row>
    <row r="1569" spans="24:24" x14ac:dyDescent="0.2">
      <c r="X1569" s="88"/>
    </row>
    <row r="1570" spans="24:24" x14ac:dyDescent="0.2">
      <c r="X1570" s="88"/>
    </row>
    <row r="1571" spans="24:24" x14ac:dyDescent="0.2">
      <c r="X1571" s="88"/>
    </row>
    <row r="1572" spans="24:24" x14ac:dyDescent="0.2">
      <c r="X1572" s="88"/>
    </row>
    <row r="1573" spans="24:24" x14ac:dyDescent="0.2">
      <c r="X1573" s="88"/>
    </row>
    <row r="1574" spans="24:24" x14ac:dyDescent="0.2">
      <c r="X1574" s="88"/>
    </row>
    <row r="1575" spans="24:24" x14ac:dyDescent="0.2">
      <c r="X1575" s="88"/>
    </row>
    <row r="1576" spans="24:24" x14ac:dyDescent="0.2">
      <c r="X1576" s="88"/>
    </row>
    <row r="1577" spans="24:24" x14ac:dyDescent="0.2">
      <c r="X1577" s="88"/>
    </row>
    <row r="1578" spans="24:24" x14ac:dyDescent="0.2">
      <c r="X1578" s="88"/>
    </row>
    <row r="1579" spans="24:24" x14ac:dyDescent="0.2">
      <c r="X1579" s="88"/>
    </row>
    <row r="1580" spans="24:24" x14ac:dyDescent="0.2">
      <c r="X1580" s="88"/>
    </row>
    <row r="1581" spans="24:24" x14ac:dyDescent="0.2">
      <c r="X1581" s="88"/>
    </row>
    <row r="1582" spans="24:24" x14ac:dyDescent="0.2">
      <c r="X1582" s="88"/>
    </row>
    <row r="1583" spans="24:24" x14ac:dyDescent="0.2">
      <c r="X1583" s="88"/>
    </row>
    <row r="1584" spans="24:24" x14ac:dyDescent="0.2">
      <c r="X1584" s="88"/>
    </row>
    <row r="1585" spans="24:24" x14ac:dyDescent="0.2">
      <c r="X1585" s="88"/>
    </row>
    <row r="1586" spans="24:24" x14ac:dyDescent="0.2">
      <c r="X1586" s="88"/>
    </row>
    <row r="1587" spans="24:24" x14ac:dyDescent="0.2">
      <c r="X1587" s="88"/>
    </row>
    <row r="1588" spans="24:24" x14ac:dyDescent="0.2">
      <c r="X1588" s="88"/>
    </row>
    <row r="1589" spans="24:24" x14ac:dyDescent="0.2">
      <c r="X1589" s="88"/>
    </row>
    <row r="1590" spans="24:24" x14ac:dyDescent="0.2">
      <c r="X1590" s="88"/>
    </row>
    <row r="1591" spans="24:24" x14ac:dyDescent="0.2">
      <c r="X1591" s="88"/>
    </row>
    <row r="1592" spans="24:24" x14ac:dyDescent="0.2">
      <c r="X1592" s="88"/>
    </row>
    <row r="1593" spans="24:24" x14ac:dyDescent="0.2">
      <c r="X1593" s="88"/>
    </row>
    <row r="1594" spans="24:24" x14ac:dyDescent="0.2">
      <c r="X1594" s="88"/>
    </row>
    <row r="1595" spans="24:24" x14ac:dyDescent="0.2">
      <c r="X1595" s="88"/>
    </row>
    <row r="1596" spans="24:24" x14ac:dyDescent="0.2">
      <c r="X1596" s="88"/>
    </row>
    <row r="1597" spans="24:24" x14ac:dyDescent="0.2">
      <c r="X1597" s="88"/>
    </row>
    <row r="1598" spans="24:24" x14ac:dyDescent="0.2">
      <c r="X1598" s="88"/>
    </row>
    <row r="1599" spans="24:24" x14ac:dyDescent="0.2">
      <c r="X1599" s="88"/>
    </row>
    <row r="1600" spans="24:24" x14ac:dyDescent="0.2">
      <c r="X1600" s="88"/>
    </row>
    <row r="1601" spans="24:24" x14ac:dyDescent="0.2">
      <c r="X1601" s="88"/>
    </row>
    <row r="1602" spans="24:24" x14ac:dyDescent="0.2">
      <c r="X1602" s="88"/>
    </row>
    <row r="1603" spans="24:24" x14ac:dyDescent="0.2">
      <c r="X1603" s="88"/>
    </row>
    <row r="1604" spans="24:24" x14ac:dyDescent="0.2">
      <c r="X1604" s="88"/>
    </row>
    <row r="1605" spans="24:24" x14ac:dyDescent="0.2">
      <c r="X1605" s="88"/>
    </row>
    <row r="1606" spans="24:24" x14ac:dyDescent="0.2">
      <c r="X1606" s="88"/>
    </row>
    <row r="1607" spans="24:24" x14ac:dyDescent="0.2">
      <c r="X1607" s="88"/>
    </row>
    <row r="1608" spans="24:24" x14ac:dyDescent="0.2">
      <c r="X1608" s="88"/>
    </row>
    <row r="1609" spans="24:24" x14ac:dyDescent="0.2">
      <c r="X1609" s="88"/>
    </row>
    <row r="1610" spans="24:24" x14ac:dyDescent="0.2">
      <c r="X1610" s="88"/>
    </row>
    <row r="1611" spans="24:24" x14ac:dyDescent="0.2">
      <c r="X1611" s="88"/>
    </row>
    <row r="1612" spans="24:24" x14ac:dyDescent="0.2">
      <c r="X1612" s="88"/>
    </row>
    <row r="1613" spans="24:24" x14ac:dyDescent="0.2">
      <c r="X1613" s="88"/>
    </row>
    <row r="1614" spans="24:24" x14ac:dyDescent="0.2">
      <c r="X1614" s="88"/>
    </row>
    <row r="1615" spans="24:24" x14ac:dyDescent="0.2">
      <c r="X1615" s="88"/>
    </row>
    <row r="1616" spans="24:24" x14ac:dyDescent="0.2">
      <c r="X1616" s="88"/>
    </row>
    <row r="1617" spans="24:24" x14ac:dyDescent="0.2">
      <c r="X1617" s="88"/>
    </row>
    <row r="1618" spans="24:24" x14ac:dyDescent="0.2">
      <c r="X1618" s="88"/>
    </row>
    <row r="1619" spans="24:24" x14ac:dyDescent="0.2">
      <c r="X1619" s="88"/>
    </row>
    <row r="1620" spans="24:24" x14ac:dyDescent="0.2">
      <c r="X1620" s="88"/>
    </row>
    <row r="1621" spans="24:24" x14ac:dyDescent="0.2">
      <c r="X1621" s="88"/>
    </row>
    <row r="1622" spans="24:24" x14ac:dyDescent="0.2">
      <c r="X1622" s="88"/>
    </row>
    <row r="1623" spans="24:24" x14ac:dyDescent="0.2">
      <c r="X1623" s="88"/>
    </row>
    <row r="1624" spans="24:24" x14ac:dyDescent="0.2">
      <c r="X1624" s="88"/>
    </row>
    <row r="1625" spans="24:24" x14ac:dyDescent="0.2">
      <c r="X1625" s="88"/>
    </row>
    <row r="1626" spans="24:24" x14ac:dyDescent="0.2">
      <c r="X1626" s="88"/>
    </row>
    <row r="1627" spans="24:24" x14ac:dyDescent="0.2">
      <c r="X1627" s="88"/>
    </row>
    <row r="1628" spans="24:24" x14ac:dyDescent="0.2">
      <c r="X1628" s="88"/>
    </row>
    <row r="1629" spans="24:24" x14ac:dyDescent="0.2">
      <c r="X1629" s="88"/>
    </row>
    <row r="1630" spans="24:24" x14ac:dyDescent="0.2">
      <c r="X1630" s="88"/>
    </row>
    <row r="1631" spans="24:24" x14ac:dyDescent="0.2">
      <c r="X1631" s="88"/>
    </row>
    <row r="1632" spans="24:24" x14ac:dyDescent="0.2">
      <c r="X1632" s="88"/>
    </row>
    <row r="1633" spans="24:24" x14ac:dyDescent="0.2">
      <c r="X1633" s="88"/>
    </row>
    <row r="1634" spans="24:24" x14ac:dyDescent="0.2">
      <c r="X1634" s="88"/>
    </row>
    <row r="1635" spans="24:24" x14ac:dyDescent="0.2">
      <c r="X1635" s="88"/>
    </row>
    <row r="1636" spans="24:24" x14ac:dyDescent="0.2">
      <c r="X1636" s="88"/>
    </row>
    <row r="1637" spans="24:24" x14ac:dyDescent="0.2">
      <c r="X1637" s="88"/>
    </row>
    <row r="1638" spans="24:24" x14ac:dyDescent="0.2">
      <c r="X1638" s="88"/>
    </row>
    <row r="1639" spans="24:24" x14ac:dyDescent="0.2">
      <c r="X1639" s="88"/>
    </row>
    <row r="1640" spans="24:24" x14ac:dyDescent="0.2">
      <c r="X1640" s="88"/>
    </row>
    <row r="1641" spans="24:24" x14ac:dyDescent="0.2">
      <c r="X1641" s="88"/>
    </row>
    <row r="1642" spans="24:24" x14ac:dyDescent="0.2">
      <c r="X1642" s="88"/>
    </row>
    <row r="1643" spans="24:24" x14ac:dyDescent="0.2">
      <c r="X1643" s="88"/>
    </row>
    <row r="1644" spans="24:24" x14ac:dyDescent="0.2">
      <c r="X1644" s="88"/>
    </row>
    <row r="1645" spans="24:24" x14ac:dyDescent="0.2">
      <c r="X1645" s="88"/>
    </row>
    <row r="1646" spans="24:24" x14ac:dyDescent="0.2">
      <c r="X1646" s="88"/>
    </row>
    <row r="1647" spans="24:24" x14ac:dyDescent="0.2">
      <c r="X1647" s="88"/>
    </row>
    <row r="1648" spans="24:24" x14ac:dyDescent="0.2">
      <c r="X1648" s="88"/>
    </row>
    <row r="1649" spans="24:24" x14ac:dyDescent="0.2">
      <c r="X1649" s="88"/>
    </row>
    <row r="1650" spans="24:24" x14ac:dyDescent="0.2">
      <c r="X1650" s="88"/>
    </row>
    <row r="1651" spans="24:24" x14ac:dyDescent="0.2">
      <c r="X1651" s="88"/>
    </row>
    <row r="1652" spans="24:24" x14ac:dyDescent="0.2">
      <c r="X1652" s="88"/>
    </row>
    <row r="1653" spans="24:24" x14ac:dyDescent="0.2">
      <c r="X1653" s="88"/>
    </row>
    <row r="1654" spans="24:24" x14ac:dyDescent="0.2">
      <c r="X1654" s="88"/>
    </row>
    <row r="1655" spans="24:24" x14ac:dyDescent="0.2">
      <c r="X1655" s="88"/>
    </row>
    <row r="1656" spans="24:24" x14ac:dyDescent="0.2">
      <c r="X1656" s="88"/>
    </row>
    <row r="1657" spans="24:24" x14ac:dyDescent="0.2">
      <c r="X1657" s="88"/>
    </row>
    <row r="1658" spans="24:24" x14ac:dyDescent="0.2">
      <c r="X1658" s="88"/>
    </row>
    <row r="1659" spans="24:24" x14ac:dyDescent="0.2">
      <c r="X1659" s="88"/>
    </row>
    <row r="1660" spans="24:24" x14ac:dyDescent="0.2">
      <c r="X1660" s="88"/>
    </row>
    <row r="1661" spans="24:24" x14ac:dyDescent="0.2">
      <c r="X1661" s="88"/>
    </row>
    <row r="1662" spans="24:24" x14ac:dyDescent="0.2">
      <c r="X1662" s="88"/>
    </row>
    <row r="1663" spans="24:24" x14ac:dyDescent="0.2">
      <c r="X1663" s="88"/>
    </row>
    <row r="1664" spans="24:24" x14ac:dyDescent="0.2">
      <c r="X1664" s="88"/>
    </row>
    <row r="1665" spans="24:24" x14ac:dyDescent="0.2">
      <c r="X1665" s="88"/>
    </row>
    <row r="1666" spans="24:24" x14ac:dyDescent="0.2">
      <c r="X1666" s="88"/>
    </row>
    <row r="1667" spans="24:24" x14ac:dyDescent="0.2">
      <c r="X1667" s="88"/>
    </row>
    <row r="1668" spans="24:24" x14ac:dyDescent="0.2">
      <c r="X1668" s="88"/>
    </row>
    <row r="1669" spans="24:24" x14ac:dyDescent="0.2">
      <c r="X1669" s="88"/>
    </row>
    <row r="1670" spans="24:24" x14ac:dyDescent="0.2">
      <c r="X1670" s="88"/>
    </row>
    <row r="1671" spans="24:24" x14ac:dyDescent="0.2">
      <c r="X1671" s="88"/>
    </row>
    <row r="1672" spans="24:24" x14ac:dyDescent="0.2">
      <c r="X1672" s="88"/>
    </row>
    <row r="1673" spans="24:24" x14ac:dyDescent="0.2">
      <c r="X1673" s="88"/>
    </row>
    <row r="1674" spans="24:24" x14ac:dyDescent="0.2">
      <c r="X1674" s="88"/>
    </row>
    <row r="1675" spans="24:24" x14ac:dyDescent="0.2">
      <c r="X1675" s="88"/>
    </row>
    <row r="1676" spans="24:24" x14ac:dyDescent="0.2">
      <c r="X1676" s="88"/>
    </row>
    <row r="1677" spans="24:24" x14ac:dyDescent="0.2">
      <c r="X1677" s="88"/>
    </row>
    <row r="1678" spans="24:24" x14ac:dyDescent="0.2">
      <c r="X1678" s="88"/>
    </row>
    <row r="1679" spans="24:24" x14ac:dyDescent="0.2">
      <c r="X1679" s="88"/>
    </row>
    <row r="1680" spans="24:24" x14ac:dyDescent="0.2">
      <c r="X1680" s="88"/>
    </row>
    <row r="1681" spans="24:24" x14ac:dyDescent="0.2">
      <c r="X1681" s="88"/>
    </row>
    <row r="1682" spans="24:24" x14ac:dyDescent="0.2">
      <c r="X1682" s="88"/>
    </row>
    <row r="1683" spans="24:24" x14ac:dyDescent="0.2">
      <c r="X1683" s="88"/>
    </row>
    <row r="1684" spans="24:24" x14ac:dyDescent="0.2">
      <c r="X1684" s="88"/>
    </row>
    <row r="1685" spans="24:24" x14ac:dyDescent="0.2">
      <c r="X1685" s="88"/>
    </row>
    <row r="1686" spans="24:24" x14ac:dyDescent="0.2">
      <c r="X1686" s="88"/>
    </row>
    <row r="1687" spans="24:24" x14ac:dyDescent="0.2">
      <c r="X1687" s="88"/>
    </row>
    <row r="1688" spans="24:24" x14ac:dyDescent="0.2">
      <c r="X1688" s="88"/>
    </row>
    <row r="1689" spans="24:24" x14ac:dyDescent="0.2">
      <c r="X1689" s="88"/>
    </row>
    <row r="1690" spans="24:24" x14ac:dyDescent="0.2">
      <c r="X1690" s="88"/>
    </row>
    <row r="1691" spans="24:24" x14ac:dyDescent="0.2">
      <c r="X1691" s="88"/>
    </row>
    <row r="1692" spans="24:24" x14ac:dyDescent="0.2">
      <c r="X1692" s="88"/>
    </row>
    <row r="1693" spans="24:24" x14ac:dyDescent="0.2">
      <c r="X1693" s="88"/>
    </row>
    <row r="1694" spans="24:24" x14ac:dyDescent="0.2">
      <c r="X1694" s="88"/>
    </row>
    <row r="1695" spans="24:24" x14ac:dyDescent="0.2">
      <c r="X1695" s="88"/>
    </row>
    <row r="1696" spans="24:24" x14ac:dyDescent="0.2">
      <c r="X1696" s="88"/>
    </row>
    <row r="1697" spans="24:24" x14ac:dyDescent="0.2">
      <c r="X1697" s="88"/>
    </row>
    <row r="1698" spans="24:24" x14ac:dyDescent="0.2">
      <c r="X1698" s="88"/>
    </row>
    <row r="1699" spans="24:24" x14ac:dyDescent="0.2">
      <c r="X1699" s="88"/>
    </row>
    <row r="1700" spans="24:24" x14ac:dyDescent="0.2">
      <c r="X1700" s="88"/>
    </row>
    <row r="1701" spans="24:24" x14ac:dyDescent="0.2">
      <c r="X1701" s="88"/>
    </row>
    <row r="1702" spans="24:24" x14ac:dyDescent="0.2">
      <c r="X1702" s="88"/>
    </row>
    <row r="1703" spans="24:24" x14ac:dyDescent="0.2">
      <c r="X1703" s="88"/>
    </row>
    <row r="1704" spans="24:24" x14ac:dyDescent="0.2">
      <c r="X1704" s="88"/>
    </row>
    <row r="1705" spans="24:24" x14ac:dyDescent="0.2">
      <c r="X1705" s="88"/>
    </row>
    <row r="1706" spans="24:24" x14ac:dyDescent="0.2">
      <c r="X1706" s="88"/>
    </row>
    <row r="1707" spans="24:24" x14ac:dyDescent="0.2">
      <c r="X1707" s="88"/>
    </row>
    <row r="1708" spans="24:24" x14ac:dyDescent="0.2">
      <c r="X1708" s="88"/>
    </row>
    <row r="1709" spans="24:24" x14ac:dyDescent="0.2">
      <c r="X1709" s="88"/>
    </row>
    <row r="1710" spans="24:24" x14ac:dyDescent="0.2">
      <c r="X1710" s="88"/>
    </row>
    <row r="1711" spans="24:24" x14ac:dyDescent="0.2">
      <c r="X1711" s="88"/>
    </row>
    <row r="1712" spans="24:24" x14ac:dyDescent="0.2">
      <c r="X1712" s="88"/>
    </row>
    <row r="1713" spans="24:24" x14ac:dyDescent="0.2">
      <c r="X1713" s="88"/>
    </row>
    <row r="1714" spans="24:24" x14ac:dyDescent="0.2">
      <c r="X1714" s="88"/>
    </row>
    <row r="1715" spans="24:24" x14ac:dyDescent="0.2">
      <c r="X1715" s="88"/>
    </row>
    <row r="1716" spans="24:24" x14ac:dyDescent="0.2">
      <c r="X1716" s="88"/>
    </row>
    <row r="1717" spans="24:24" x14ac:dyDescent="0.2">
      <c r="X1717" s="88"/>
    </row>
    <row r="1718" spans="24:24" x14ac:dyDescent="0.2">
      <c r="X1718" s="88"/>
    </row>
    <row r="1719" spans="24:24" x14ac:dyDescent="0.2">
      <c r="X1719" s="88"/>
    </row>
    <row r="1720" spans="24:24" x14ac:dyDescent="0.2">
      <c r="X1720" s="88"/>
    </row>
    <row r="1721" spans="24:24" x14ac:dyDescent="0.2">
      <c r="X1721" s="88"/>
    </row>
    <row r="1722" spans="24:24" x14ac:dyDescent="0.2">
      <c r="X1722" s="88"/>
    </row>
    <row r="1723" spans="24:24" x14ac:dyDescent="0.2">
      <c r="X1723" s="88"/>
    </row>
    <row r="1724" spans="24:24" x14ac:dyDescent="0.2">
      <c r="X1724" s="88"/>
    </row>
    <row r="1725" spans="24:24" x14ac:dyDescent="0.2">
      <c r="X1725" s="88"/>
    </row>
    <row r="1726" spans="24:24" x14ac:dyDescent="0.2">
      <c r="X1726" s="88"/>
    </row>
    <row r="1727" spans="24:24" x14ac:dyDescent="0.2">
      <c r="X1727" s="88"/>
    </row>
    <row r="1728" spans="24:24" x14ac:dyDescent="0.2">
      <c r="X1728" s="88"/>
    </row>
    <row r="1729" spans="24:24" x14ac:dyDescent="0.2">
      <c r="X1729" s="88"/>
    </row>
    <row r="1730" spans="24:24" x14ac:dyDescent="0.2">
      <c r="X1730" s="88"/>
    </row>
    <row r="1731" spans="24:24" x14ac:dyDescent="0.2">
      <c r="X1731" s="88"/>
    </row>
    <row r="1732" spans="24:24" x14ac:dyDescent="0.2">
      <c r="X1732" s="88"/>
    </row>
    <row r="1733" spans="24:24" x14ac:dyDescent="0.2">
      <c r="X1733" s="88"/>
    </row>
    <row r="1734" spans="24:24" x14ac:dyDescent="0.2">
      <c r="X1734" s="88"/>
    </row>
    <row r="1735" spans="24:24" x14ac:dyDescent="0.2">
      <c r="X1735" s="88"/>
    </row>
    <row r="1736" spans="24:24" x14ac:dyDescent="0.2">
      <c r="X1736" s="88"/>
    </row>
    <row r="1737" spans="24:24" x14ac:dyDescent="0.2">
      <c r="X1737" s="88"/>
    </row>
    <row r="1738" spans="24:24" x14ac:dyDescent="0.2">
      <c r="X1738" s="88"/>
    </row>
    <row r="1739" spans="24:24" x14ac:dyDescent="0.2">
      <c r="X1739" s="88"/>
    </row>
    <row r="1740" spans="24:24" x14ac:dyDescent="0.2">
      <c r="X1740" s="88"/>
    </row>
    <row r="1741" spans="24:24" x14ac:dyDescent="0.2">
      <c r="X1741" s="88"/>
    </row>
    <row r="1742" spans="24:24" x14ac:dyDescent="0.2">
      <c r="X1742" s="88"/>
    </row>
    <row r="1743" spans="24:24" x14ac:dyDescent="0.2">
      <c r="X1743" s="88"/>
    </row>
    <row r="1744" spans="24:24" x14ac:dyDescent="0.2">
      <c r="X1744" s="88"/>
    </row>
    <row r="1745" spans="24:24" x14ac:dyDescent="0.2">
      <c r="X1745" s="88"/>
    </row>
    <row r="1746" spans="24:24" x14ac:dyDescent="0.2">
      <c r="X1746" s="88"/>
    </row>
    <row r="1747" spans="24:24" x14ac:dyDescent="0.2">
      <c r="X1747" s="88"/>
    </row>
    <row r="1748" spans="24:24" x14ac:dyDescent="0.2">
      <c r="X1748" s="88"/>
    </row>
    <row r="1749" spans="24:24" x14ac:dyDescent="0.2">
      <c r="X1749" s="88"/>
    </row>
    <row r="1750" spans="24:24" x14ac:dyDescent="0.2">
      <c r="X1750" s="88"/>
    </row>
    <row r="1751" spans="24:24" x14ac:dyDescent="0.2">
      <c r="X1751" s="88"/>
    </row>
    <row r="1752" spans="24:24" x14ac:dyDescent="0.2">
      <c r="X1752" s="88"/>
    </row>
    <row r="1753" spans="24:24" x14ac:dyDescent="0.2">
      <c r="X1753" s="88"/>
    </row>
    <row r="1754" spans="24:24" x14ac:dyDescent="0.2">
      <c r="X1754" s="88"/>
    </row>
    <row r="1755" spans="24:24" x14ac:dyDescent="0.2">
      <c r="X1755" s="88"/>
    </row>
    <row r="1756" spans="24:24" x14ac:dyDescent="0.2">
      <c r="X1756" s="88"/>
    </row>
    <row r="1757" spans="24:24" x14ac:dyDescent="0.2">
      <c r="X1757" s="88"/>
    </row>
    <row r="1758" spans="24:24" x14ac:dyDescent="0.2">
      <c r="X1758" s="88"/>
    </row>
    <row r="1759" spans="24:24" x14ac:dyDescent="0.2">
      <c r="X1759" s="88"/>
    </row>
    <row r="1760" spans="24:24" x14ac:dyDescent="0.2">
      <c r="X1760" s="88"/>
    </row>
    <row r="1761" spans="24:24" x14ac:dyDescent="0.2">
      <c r="X1761" s="88"/>
    </row>
    <row r="1762" spans="24:24" x14ac:dyDescent="0.2">
      <c r="X1762" s="88"/>
    </row>
    <row r="1763" spans="24:24" x14ac:dyDescent="0.2">
      <c r="X1763" s="88"/>
    </row>
    <row r="1764" spans="24:24" x14ac:dyDescent="0.2">
      <c r="X1764" s="88"/>
    </row>
    <row r="1765" spans="24:24" x14ac:dyDescent="0.2">
      <c r="X1765" s="88"/>
    </row>
    <row r="1766" spans="24:24" x14ac:dyDescent="0.2">
      <c r="X1766" s="88"/>
    </row>
    <row r="1767" spans="24:24" x14ac:dyDescent="0.2">
      <c r="X1767" s="88"/>
    </row>
    <row r="1768" spans="24:24" x14ac:dyDescent="0.2">
      <c r="X1768" s="88"/>
    </row>
    <row r="1769" spans="24:24" x14ac:dyDescent="0.2">
      <c r="X1769" s="88"/>
    </row>
    <row r="1770" spans="24:24" x14ac:dyDescent="0.2">
      <c r="X1770" s="88"/>
    </row>
    <row r="1771" spans="24:24" x14ac:dyDescent="0.2">
      <c r="X1771" s="88"/>
    </row>
    <row r="1772" spans="24:24" x14ac:dyDescent="0.2">
      <c r="X1772" s="88"/>
    </row>
    <row r="1773" spans="24:24" x14ac:dyDescent="0.2">
      <c r="X1773" s="88"/>
    </row>
    <row r="1774" spans="24:24" x14ac:dyDescent="0.2">
      <c r="X1774" s="88"/>
    </row>
    <row r="1775" spans="24:24" x14ac:dyDescent="0.2">
      <c r="X1775" s="88"/>
    </row>
    <row r="1776" spans="24:24" x14ac:dyDescent="0.2">
      <c r="X1776" s="88"/>
    </row>
    <row r="1777" spans="24:24" x14ac:dyDescent="0.2">
      <c r="X1777" s="88"/>
    </row>
    <row r="1778" spans="24:24" x14ac:dyDescent="0.2">
      <c r="X1778" s="88"/>
    </row>
    <row r="1779" spans="24:24" x14ac:dyDescent="0.2">
      <c r="X1779" s="88"/>
    </row>
    <row r="1780" spans="24:24" x14ac:dyDescent="0.2">
      <c r="X1780" s="88"/>
    </row>
    <row r="1781" spans="24:24" x14ac:dyDescent="0.2">
      <c r="X1781" s="88"/>
    </row>
    <row r="1782" spans="24:24" x14ac:dyDescent="0.2">
      <c r="X1782" s="88"/>
    </row>
    <row r="1783" spans="24:24" x14ac:dyDescent="0.2">
      <c r="X1783" s="88"/>
    </row>
    <row r="1784" spans="24:24" x14ac:dyDescent="0.2">
      <c r="X1784" s="88"/>
    </row>
    <row r="1785" spans="24:24" x14ac:dyDescent="0.2">
      <c r="X1785" s="88"/>
    </row>
    <row r="1786" spans="24:24" x14ac:dyDescent="0.2">
      <c r="X1786" s="88"/>
    </row>
    <row r="1787" spans="24:24" x14ac:dyDescent="0.2">
      <c r="X1787" s="88"/>
    </row>
    <row r="1788" spans="24:24" x14ac:dyDescent="0.2">
      <c r="X1788" s="88"/>
    </row>
    <row r="1789" spans="24:24" x14ac:dyDescent="0.2">
      <c r="X1789" s="88"/>
    </row>
    <row r="1790" spans="24:24" x14ac:dyDescent="0.2">
      <c r="X1790" s="88"/>
    </row>
    <row r="1791" spans="24:24" x14ac:dyDescent="0.2">
      <c r="X1791" s="88"/>
    </row>
    <row r="1792" spans="24:24" x14ac:dyDescent="0.2">
      <c r="X1792" s="88"/>
    </row>
    <row r="1793" spans="24:24" x14ac:dyDescent="0.2">
      <c r="X1793" s="88"/>
    </row>
    <row r="1794" spans="24:24" x14ac:dyDescent="0.2">
      <c r="X1794" s="88"/>
    </row>
    <row r="1795" spans="24:24" x14ac:dyDescent="0.2">
      <c r="X1795" s="88"/>
    </row>
    <row r="1796" spans="24:24" x14ac:dyDescent="0.2">
      <c r="X1796" s="88"/>
    </row>
    <row r="1797" spans="24:24" x14ac:dyDescent="0.2">
      <c r="X1797" s="88"/>
    </row>
    <row r="1798" spans="24:24" x14ac:dyDescent="0.2">
      <c r="X1798" s="88"/>
    </row>
    <row r="1799" spans="24:24" x14ac:dyDescent="0.2">
      <c r="X1799" s="88"/>
    </row>
    <row r="1800" spans="24:24" x14ac:dyDescent="0.2">
      <c r="X1800" s="88"/>
    </row>
    <row r="1801" spans="24:24" x14ac:dyDescent="0.2">
      <c r="X1801" s="88"/>
    </row>
    <row r="1802" spans="24:24" x14ac:dyDescent="0.2">
      <c r="X1802" s="88"/>
    </row>
    <row r="1803" spans="24:24" x14ac:dyDescent="0.2">
      <c r="X1803" s="88"/>
    </row>
    <row r="1804" spans="24:24" x14ac:dyDescent="0.2">
      <c r="X1804" s="88"/>
    </row>
    <row r="1805" spans="24:24" x14ac:dyDescent="0.2">
      <c r="X1805" s="88"/>
    </row>
    <row r="1806" spans="24:24" x14ac:dyDescent="0.2">
      <c r="X1806" s="88"/>
    </row>
    <row r="1807" spans="24:24" x14ac:dyDescent="0.2">
      <c r="X1807" s="88"/>
    </row>
    <row r="1808" spans="24:24" x14ac:dyDescent="0.2">
      <c r="X1808" s="88"/>
    </row>
    <row r="1809" spans="24:24" x14ac:dyDescent="0.2">
      <c r="X1809" s="88"/>
    </row>
    <row r="1810" spans="24:24" x14ac:dyDescent="0.2">
      <c r="X1810" s="88"/>
    </row>
    <row r="1811" spans="24:24" x14ac:dyDescent="0.2">
      <c r="X1811" s="88"/>
    </row>
    <row r="1812" spans="24:24" x14ac:dyDescent="0.2">
      <c r="X1812" s="88"/>
    </row>
    <row r="1813" spans="24:24" x14ac:dyDescent="0.2">
      <c r="X1813" s="88"/>
    </row>
    <row r="1814" spans="24:24" x14ac:dyDescent="0.2">
      <c r="X1814" s="88"/>
    </row>
    <row r="1815" spans="24:24" x14ac:dyDescent="0.2">
      <c r="X1815" s="88"/>
    </row>
    <row r="1816" spans="24:24" x14ac:dyDescent="0.2">
      <c r="X1816" s="88"/>
    </row>
    <row r="1817" spans="24:24" x14ac:dyDescent="0.2">
      <c r="X1817" s="88"/>
    </row>
    <row r="1818" spans="24:24" x14ac:dyDescent="0.2">
      <c r="X1818" s="88"/>
    </row>
    <row r="1819" spans="24:24" x14ac:dyDescent="0.2">
      <c r="X1819" s="88"/>
    </row>
    <row r="1820" spans="24:24" x14ac:dyDescent="0.2">
      <c r="X1820" s="88"/>
    </row>
    <row r="1821" spans="24:24" x14ac:dyDescent="0.2">
      <c r="X1821" s="88"/>
    </row>
    <row r="1822" spans="24:24" x14ac:dyDescent="0.2">
      <c r="X1822" s="88"/>
    </row>
    <row r="1823" spans="24:24" x14ac:dyDescent="0.2">
      <c r="X1823" s="88"/>
    </row>
    <row r="1824" spans="24:24" x14ac:dyDescent="0.2">
      <c r="X1824" s="88"/>
    </row>
    <row r="1825" spans="24:24" x14ac:dyDescent="0.2">
      <c r="X1825" s="88"/>
    </row>
    <row r="1826" spans="24:24" x14ac:dyDescent="0.2">
      <c r="X1826" s="88"/>
    </row>
    <row r="1827" spans="24:24" x14ac:dyDescent="0.2">
      <c r="X1827" s="88"/>
    </row>
    <row r="1828" spans="24:24" x14ac:dyDescent="0.2">
      <c r="X1828" s="88"/>
    </row>
    <row r="1829" spans="24:24" x14ac:dyDescent="0.2">
      <c r="X1829" s="88"/>
    </row>
    <row r="1830" spans="24:24" x14ac:dyDescent="0.2">
      <c r="X1830" s="88"/>
    </row>
    <row r="1831" spans="24:24" x14ac:dyDescent="0.2">
      <c r="X1831" s="88"/>
    </row>
    <row r="1832" spans="24:24" x14ac:dyDescent="0.2">
      <c r="X1832" s="88"/>
    </row>
    <row r="1833" spans="24:24" x14ac:dyDescent="0.2">
      <c r="X1833" s="88"/>
    </row>
    <row r="1834" spans="24:24" x14ac:dyDescent="0.2">
      <c r="X1834" s="88"/>
    </row>
    <row r="1835" spans="24:24" x14ac:dyDescent="0.2">
      <c r="X1835" s="88"/>
    </row>
    <row r="1836" spans="24:24" x14ac:dyDescent="0.2">
      <c r="X1836" s="88"/>
    </row>
    <row r="1837" spans="24:24" x14ac:dyDescent="0.2">
      <c r="X1837" s="88"/>
    </row>
    <row r="1838" spans="24:24" x14ac:dyDescent="0.2">
      <c r="X1838" s="88"/>
    </row>
    <row r="1839" spans="24:24" x14ac:dyDescent="0.2">
      <c r="X1839" s="88"/>
    </row>
    <row r="1840" spans="24:24" x14ac:dyDescent="0.2">
      <c r="X1840" s="88"/>
    </row>
    <row r="1841" spans="24:24" x14ac:dyDescent="0.2">
      <c r="X1841" s="88"/>
    </row>
    <row r="1842" spans="24:24" x14ac:dyDescent="0.2">
      <c r="X1842" s="88"/>
    </row>
    <row r="1843" spans="24:24" x14ac:dyDescent="0.2">
      <c r="X1843" s="88"/>
    </row>
    <row r="1844" spans="24:24" x14ac:dyDescent="0.2">
      <c r="X1844" s="88"/>
    </row>
    <row r="1845" spans="24:24" x14ac:dyDescent="0.2">
      <c r="X1845" s="88"/>
    </row>
    <row r="1846" spans="24:24" x14ac:dyDescent="0.2">
      <c r="X1846" s="88"/>
    </row>
    <row r="1847" spans="24:24" x14ac:dyDescent="0.2">
      <c r="X1847" s="88"/>
    </row>
    <row r="1848" spans="24:24" x14ac:dyDescent="0.2">
      <c r="X1848" s="88"/>
    </row>
    <row r="1849" spans="24:24" x14ac:dyDescent="0.2">
      <c r="X1849" s="88"/>
    </row>
    <row r="1850" spans="24:24" x14ac:dyDescent="0.2">
      <c r="X1850" s="88"/>
    </row>
    <row r="1851" spans="24:24" x14ac:dyDescent="0.2">
      <c r="X1851" s="88"/>
    </row>
    <row r="1852" spans="24:24" x14ac:dyDescent="0.2">
      <c r="X1852" s="88"/>
    </row>
    <row r="1853" spans="24:24" x14ac:dyDescent="0.2">
      <c r="X1853" s="88"/>
    </row>
    <row r="1854" spans="24:24" x14ac:dyDescent="0.2">
      <c r="X1854" s="88"/>
    </row>
    <row r="1855" spans="24:24" x14ac:dyDescent="0.2">
      <c r="X1855" s="88"/>
    </row>
    <row r="1856" spans="24:24" x14ac:dyDescent="0.2">
      <c r="X1856" s="88"/>
    </row>
    <row r="1857" spans="24:24" x14ac:dyDescent="0.2">
      <c r="X1857" s="88"/>
    </row>
    <row r="1858" spans="24:24" x14ac:dyDescent="0.2">
      <c r="X1858" s="88"/>
    </row>
    <row r="1859" spans="24:24" x14ac:dyDescent="0.2">
      <c r="X1859" s="88"/>
    </row>
    <row r="1860" spans="24:24" x14ac:dyDescent="0.2">
      <c r="X1860" s="88"/>
    </row>
    <row r="1861" spans="24:24" x14ac:dyDescent="0.2">
      <c r="X1861" s="88"/>
    </row>
    <row r="1862" spans="24:24" x14ac:dyDescent="0.2">
      <c r="X1862" s="88"/>
    </row>
    <row r="1863" spans="24:24" x14ac:dyDescent="0.2">
      <c r="X1863" s="88"/>
    </row>
    <row r="1864" spans="24:24" x14ac:dyDescent="0.2">
      <c r="X1864" s="88"/>
    </row>
    <row r="1865" spans="24:24" x14ac:dyDescent="0.2">
      <c r="X1865" s="88"/>
    </row>
    <row r="1866" spans="24:24" x14ac:dyDescent="0.2">
      <c r="X1866" s="88"/>
    </row>
    <row r="1867" spans="24:24" x14ac:dyDescent="0.2">
      <c r="X1867" s="88"/>
    </row>
    <row r="1868" spans="24:24" x14ac:dyDescent="0.2">
      <c r="X1868" s="88"/>
    </row>
    <row r="1869" spans="24:24" x14ac:dyDescent="0.2">
      <c r="X1869" s="88"/>
    </row>
    <row r="1870" spans="24:24" x14ac:dyDescent="0.2">
      <c r="X1870" s="88"/>
    </row>
    <row r="1871" spans="24:24" x14ac:dyDescent="0.2">
      <c r="X1871" s="88"/>
    </row>
    <row r="1872" spans="24:24" x14ac:dyDescent="0.2">
      <c r="X1872" s="88"/>
    </row>
    <row r="1873" spans="24:24" x14ac:dyDescent="0.2">
      <c r="X1873" s="88"/>
    </row>
    <row r="1874" spans="24:24" x14ac:dyDescent="0.2">
      <c r="X1874" s="88"/>
    </row>
    <row r="1875" spans="24:24" x14ac:dyDescent="0.2">
      <c r="X1875" s="88"/>
    </row>
    <row r="1876" spans="24:24" x14ac:dyDescent="0.2">
      <c r="X1876" s="88"/>
    </row>
    <row r="1877" spans="24:24" x14ac:dyDescent="0.2">
      <c r="X1877" s="88"/>
    </row>
    <row r="1878" spans="24:24" x14ac:dyDescent="0.2">
      <c r="X1878" s="88"/>
    </row>
    <row r="1879" spans="24:24" x14ac:dyDescent="0.2">
      <c r="X1879" s="88"/>
    </row>
    <row r="1880" spans="24:24" x14ac:dyDescent="0.2">
      <c r="X1880" s="88"/>
    </row>
    <row r="1881" spans="24:24" x14ac:dyDescent="0.2">
      <c r="X1881" s="88"/>
    </row>
    <row r="1882" spans="24:24" x14ac:dyDescent="0.2">
      <c r="X1882" s="88"/>
    </row>
    <row r="1883" spans="24:24" x14ac:dyDescent="0.2">
      <c r="X1883" s="88"/>
    </row>
    <row r="1884" spans="24:24" x14ac:dyDescent="0.2">
      <c r="X1884" s="88"/>
    </row>
    <row r="1885" spans="24:24" x14ac:dyDescent="0.2">
      <c r="X1885" s="88"/>
    </row>
    <row r="1886" spans="24:24" x14ac:dyDescent="0.2">
      <c r="X1886" s="88"/>
    </row>
    <row r="1887" spans="24:24" x14ac:dyDescent="0.2">
      <c r="X1887" s="88"/>
    </row>
    <row r="1888" spans="24:24" x14ac:dyDescent="0.2">
      <c r="X1888" s="88"/>
    </row>
    <row r="1889" spans="24:24" x14ac:dyDescent="0.2">
      <c r="X1889" s="88"/>
    </row>
    <row r="1890" spans="24:24" x14ac:dyDescent="0.2">
      <c r="X1890" s="88"/>
    </row>
    <row r="1891" spans="24:24" x14ac:dyDescent="0.2">
      <c r="X1891" s="88"/>
    </row>
    <row r="1892" spans="24:24" x14ac:dyDescent="0.2">
      <c r="X1892" s="88"/>
    </row>
    <row r="1893" spans="24:24" x14ac:dyDescent="0.2">
      <c r="X1893" s="88"/>
    </row>
    <row r="1894" spans="24:24" x14ac:dyDescent="0.2">
      <c r="X1894" s="88"/>
    </row>
    <row r="1895" spans="24:24" x14ac:dyDescent="0.2">
      <c r="X1895" s="88"/>
    </row>
    <row r="1896" spans="24:24" x14ac:dyDescent="0.2">
      <c r="X1896" s="88"/>
    </row>
    <row r="1897" spans="24:24" x14ac:dyDescent="0.2">
      <c r="X1897" s="88"/>
    </row>
    <row r="1898" spans="24:24" x14ac:dyDescent="0.2">
      <c r="X1898" s="88"/>
    </row>
    <row r="1899" spans="24:24" x14ac:dyDescent="0.2">
      <c r="X1899" s="88"/>
    </row>
    <row r="1900" spans="24:24" x14ac:dyDescent="0.2">
      <c r="X1900" s="88"/>
    </row>
    <row r="1901" spans="24:24" x14ac:dyDescent="0.2">
      <c r="X1901" s="88"/>
    </row>
    <row r="1902" spans="24:24" x14ac:dyDescent="0.2">
      <c r="X1902" s="88"/>
    </row>
    <row r="1903" spans="24:24" x14ac:dyDescent="0.2">
      <c r="X1903" s="88"/>
    </row>
    <row r="1904" spans="24:24" x14ac:dyDescent="0.2">
      <c r="X1904" s="88"/>
    </row>
    <row r="1905" spans="24:24" x14ac:dyDescent="0.2">
      <c r="X1905" s="88"/>
    </row>
    <row r="1906" spans="24:24" x14ac:dyDescent="0.2">
      <c r="X1906" s="88"/>
    </row>
    <row r="1907" spans="24:24" x14ac:dyDescent="0.2">
      <c r="X1907" s="88"/>
    </row>
    <row r="1908" spans="24:24" x14ac:dyDescent="0.2">
      <c r="X1908" s="88"/>
    </row>
    <row r="1909" spans="24:24" x14ac:dyDescent="0.2">
      <c r="X1909" s="88"/>
    </row>
    <row r="1910" spans="24:24" x14ac:dyDescent="0.2">
      <c r="X1910" s="88"/>
    </row>
    <row r="1911" spans="24:24" x14ac:dyDescent="0.2">
      <c r="X1911" s="88"/>
    </row>
    <row r="1912" spans="24:24" x14ac:dyDescent="0.2">
      <c r="X1912" s="88"/>
    </row>
    <row r="1913" spans="24:24" x14ac:dyDescent="0.2">
      <c r="X1913" s="88"/>
    </row>
    <row r="1914" spans="24:24" x14ac:dyDescent="0.2">
      <c r="X1914" s="88"/>
    </row>
    <row r="1915" spans="24:24" x14ac:dyDescent="0.2">
      <c r="X1915" s="88"/>
    </row>
    <row r="1916" spans="24:24" x14ac:dyDescent="0.2">
      <c r="X1916" s="88"/>
    </row>
    <row r="1917" spans="24:24" x14ac:dyDescent="0.2">
      <c r="X1917" s="88"/>
    </row>
    <row r="1918" spans="24:24" x14ac:dyDescent="0.2">
      <c r="X1918" s="88"/>
    </row>
    <row r="1919" spans="24:24" x14ac:dyDescent="0.2">
      <c r="X1919" s="88"/>
    </row>
    <row r="1920" spans="24:24" x14ac:dyDescent="0.2">
      <c r="X1920" s="88"/>
    </row>
    <row r="1921" spans="24:24" x14ac:dyDescent="0.2">
      <c r="X1921" s="88"/>
    </row>
    <row r="1922" spans="24:24" x14ac:dyDescent="0.2">
      <c r="X1922" s="88"/>
    </row>
    <row r="1923" spans="24:24" x14ac:dyDescent="0.2">
      <c r="X1923" s="88"/>
    </row>
    <row r="1924" spans="24:24" x14ac:dyDescent="0.2">
      <c r="X1924" s="88"/>
    </row>
    <row r="1925" spans="24:24" x14ac:dyDescent="0.2">
      <c r="X1925" s="88"/>
    </row>
    <row r="1926" spans="24:24" x14ac:dyDescent="0.2">
      <c r="X1926" s="88"/>
    </row>
    <row r="1927" spans="24:24" x14ac:dyDescent="0.2">
      <c r="X1927" s="88"/>
    </row>
    <row r="1928" spans="24:24" x14ac:dyDescent="0.2">
      <c r="X1928" s="88"/>
    </row>
    <row r="1929" spans="24:24" x14ac:dyDescent="0.2">
      <c r="X1929" s="88"/>
    </row>
    <row r="1930" spans="24:24" x14ac:dyDescent="0.2">
      <c r="X1930" s="88"/>
    </row>
    <row r="1931" spans="24:24" x14ac:dyDescent="0.2">
      <c r="X1931" s="88"/>
    </row>
    <row r="1932" spans="24:24" x14ac:dyDescent="0.2">
      <c r="X1932" s="88"/>
    </row>
    <row r="1933" spans="24:24" x14ac:dyDescent="0.2">
      <c r="X1933" s="88"/>
    </row>
    <row r="1934" spans="24:24" x14ac:dyDescent="0.2">
      <c r="X1934" s="88"/>
    </row>
    <row r="1935" spans="24:24" x14ac:dyDescent="0.2">
      <c r="X1935" s="88"/>
    </row>
    <row r="1936" spans="24:24" x14ac:dyDescent="0.2">
      <c r="X1936" s="88"/>
    </row>
    <row r="1937" spans="24:24" x14ac:dyDescent="0.2">
      <c r="X1937" s="88"/>
    </row>
    <row r="1938" spans="24:24" x14ac:dyDescent="0.2">
      <c r="X1938" s="88"/>
    </row>
    <row r="1939" spans="24:24" x14ac:dyDescent="0.2">
      <c r="X1939" s="88"/>
    </row>
    <row r="1940" spans="24:24" x14ac:dyDescent="0.2">
      <c r="X1940" s="88"/>
    </row>
    <row r="1941" spans="24:24" x14ac:dyDescent="0.2">
      <c r="X1941" s="88"/>
    </row>
    <row r="1942" spans="24:24" x14ac:dyDescent="0.2">
      <c r="X1942" s="88"/>
    </row>
    <row r="1943" spans="24:24" x14ac:dyDescent="0.2">
      <c r="X1943" s="88"/>
    </row>
    <row r="1944" spans="24:24" x14ac:dyDescent="0.2">
      <c r="X1944" s="88"/>
    </row>
    <row r="1945" spans="24:24" x14ac:dyDescent="0.2">
      <c r="X1945" s="88"/>
    </row>
    <row r="1946" spans="24:24" x14ac:dyDescent="0.2">
      <c r="X1946" s="88"/>
    </row>
    <row r="1947" spans="24:24" x14ac:dyDescent="0.2">
      <c r="X1947" s="88"/>
    </row>
    <row r="1948" spans="24:24" x14ac:dyDescent="0.2">
      <c r="X1948" s="88"/>
    </row>
    <row r="1949" spans="24:24" x14ac:dyDescent="0.2">
      <c r="X1949" s="88"/>
    </row>
    <row r="1950" spans="24:24" x14ac:dyDescent="0.2">
      <c r="X1950" s="88"/>
    </row>
    <row r="1951" spans="24:24" x14ac:dyDescent="0.2">
      <c r="X1951" s="88"/>
    </row>
    <row r="1952" spans="24:24" x14ac:dyDescent="0.2">
      <c r="X1952" s="88"/>
    </row>
    <row r="1953" spans="24:24" x14ac:dyDescent="0.2">
      <c r="X1953" s="88"/>
    </row>
    <row r="1954" spans="24:24" x14ac:dyDescent="0.2">
      <c r="X1954" s="88"/>
    </row>
    <row r="1955" spans="24:24" x14ac:dyDescent="0.2">
      <c r="X1955" s="88"/>
    </row>
    <row r="1956" spans="24:24" x14ac:dyDescent="0.2">
      <c r="X1956" s="88"/>
    </row>
    <row r="1957" spans="24:24" x14ac:dyDescent="0.2">
      <c r="X1957" s="88"/>
    </row>
    <row r="1958" spans="24:24" x14ac:dyDescent="0.2">
      <c r="X1958" s="88"/>
    </row>
    <row r="1959" spans="24:24" x14ac:dyDescent="0.2">
      <c r="X1959" s="88"/>
    </row>
    <row r="1960" spans="24:24" x14ac:dyDescent="0.2">
      <c r="X1960" s="88"/>
    </row>
    <row r="1961" spans="24:24" x14ac:dyDescent="0.2">
      <c r="X1961" s="88"/>
    </row>
    <row r="1962" spans="24:24" x14ac:dyDescent="0.2">
      <c r="X1962" s="88"/>
    </row>
    <row r="1963" spans="24:24" x14ac:dyDescent="0.2">
      <c r="X1963" s="88"/>
    </row>
    <row r="1964" spans="24:24" x14ac:dyDescent="0.2">
      <c r="X1964" s="88"/>
    </row>
    <row r="1965" spans="24:24" x14ac:dyDescent="0.2">
      <c r="X1965" s="88"/>
    </row>
    <row r="1966" spans="24:24" x14ac:dyDescent="0.2">
      <c r="X1966" s="88"/>
    </row>
    <row r="1967" spans="24:24" x14ac:dyDescent="0.2">
      <c r="X1967" s="88"/>
    </row>
    <row r="1968" spans="24:24" x14ac:dyDescent="0.2">
      <c r="X1968" s="88"/>
    </row>
    <row r="1969" spans="24:24" x14ac:dyDescent="0.2">
      <c r="X1969" s="88"/>
    </row>
    <row r="1970" spans="24:24" x14ac:dyDescent="0.2">
      <c r="X1970" s="88"/>
    </row>
    <row r="1971" spans="24:24" x14ac:dyDescent="0.2">
      <c r="X1971" s="88"/>
    </row>
    <row r="1972" spans="24:24" x14ac:dyDescent="0.2">
      <c r="X1972" s="88"/>
    </row>
    <row r="1973" spans="24:24" x14ac:dyDescent="0.2">
      <c r="X1973" s="88"/>
    </row>
    <row r="1974" spans="24:24" x14ac:dyDescent="0.2">
      <c r="X1974" s="88"/>
    </row>
    <row r="1975" spans="24:24" x14ac:dyDescent="0.2">
      <c r="X1975" s="88"/>
    </row>
    <row r="1976" spans="24:24" x14ac:dyDescent="0.2">
      <c r="X1976" s="88"/>
    </row>
    <row r="1977" spans="24:24" x14ac:dyDescent="0.2">
      <c r="X1977" s="88"/>
    </row>
    <row r="1978" spans="24:24" x14ac:dyDescent="0.2">
      <c r="X1978" s="88"/>
    </row>
    <row r="1979" spans="24:24" x14ac:dyDescent="0.2">
      <c r="X1979" s="88"/>
    </row>
    <row r="1980" spans="24:24" x14ac:dyDescent="0.2">
      <c r="X1980" s="88"/>
    </row>
    <row r="1981" spans="24:24" x14ac:dyDescent="0.2">
      <c r="X1981" s="88"/>
    </row>
    <row r="1982" spans="24:24" x14ac:dyDescent="0.2">
      <c r="X1982" s="88"/>
    </row>
    <row r="1983" spans="24:24" x14ac:dyDescent="0.2">
      <c r="X1983" s="88"/>
    </row>
    <row r="1984" spans="24:24" x14ac:dyDescent="0.2">
      <c r="X1984" s="88"/>
    </row>
    <row r="1985" spans="24:24" x14ac:dyDescent="0.2">
      <c r="X1985" s="88"/>
    </row>
    <row r="1986" spans="24:24" x14ac:dyDescent="0.2">
      <c r="X1986" s="88"/>
    </row>
    <row r="1987" spans="24:24" x14ac:dyDescent="0.2">
      <c r="X1987" s="88"/>
    </row>
    <row r="1988" spans="24:24" x14ac:dyDescent="0.2">
      <c r="X1988" s="88"/>
    </row>
    <row r="1989" spans="24:24" x14ac:dyDescent="0.2">
      <c r="X1989" s="88"/>
    </row>
    <row r="1990" spans="24:24" x14ac:dyDescent="0.2">
      <c r="X1990" s="88"/>
    </row>
    <row r="1991" spans="24:24" x14ac:dyDescent="0.2">
      <c r="X1991" s="88"/>
    </row>
    <row r="1992" spans="24:24" x14ac:dyDescent="0.2">
      <c r="X1992" s="88"/>
    </row>
    <row r="1993" spans="24:24" x14ac:dyDescent="0.2">
      <c r="X1993" s="88"/>
    </row>
    <row r="1994" spans="24:24" x14ac:dyDescent="0.2">
      <c r="X1994" s="88"/>
    </row>
    <row r="1995" spans="24:24" x14ac:dyDescent="0.2">
      <c r="X1995" s="88"/>
    </row>
    <row r="1996" spans="24:24" x14ac:dyDescent="0.2">
      <c r="X1996" s="88"/>
    </row>
    <row r="1997" spans="24:24" x14ac:dyDescent="0.2">
      <c r="X1997" s="88"/>
    </row>
    <row r="1998" spans="24:24" x14ac:dyDescent="0.2">
      <c r="X1998" s="88"/>
    </row>
    <row r="1999" spans="24:24" x14ac:dyDescent="0.2">
      <c r="X1999" s="88"/>
    </row>
    <row r="2000" spans="24:24" x14ac:dyDescent="0.2">
      <c r="X2000" s="88"/>
    </row>
    <row r="2001" spans="24:24" x14ac:dyDescent="0.2">
      <c r="X2001" s="88"/>
    </row>
    <row r="2002" spans="24:24" x14ac:dyDescent="0.2">
      <c r="X2002" s="88"/>
    </row>
    <row r="2003" spans="24:24" x14ac:dyDescent="0.2">
      <c r="X2003" s="88"/>
    </row>
    <row r="2004" spans="24:24" x14ac:dyDescent="0.2">
      <c r="X2004" s="88"/>
    </row>
    <row r="2005" spans="24:24" x14ac:dyDescent="0.2">
      <c r="X2005" s="88"/>
    </row>
    <row r="2006" spans="24:24" x14ac:dyDescent="0.2">
      <c r="X2006" s="88"/>
    </row>
    <row r="2007" spans="24:24" x14ac:dyDescent="0.2">
      <c r="X2007" s="88"/>
    </row>
    <row r="2008" spans="24:24" x14ac:dyDescent="0.2">
      <c r="X2008" s="88"/>
    </row>
    <row r="2009" spans="24:24" x14ac:dyDescent="0.2">
      <c r="X2009" s="88"/>
    </row>
    <row r="2010" spans="24:24" x14ac:dyDescent="0.2">
      <c r="X2010" s="88"/>
    </row>
    <row r="2011" spans="24:24" x14ac:dyDescent="0.2">
      <c r="X2011" s="88"/>
    </row>
    <row r="2012" spans="24:24" x14ac:dyDescent="0.2">
      <c r="X2012" s="88"/>
    </row>
    <row r="2013" spans="24:24" x14ac:dyDescent="0.2">
      <c r="X2013" s="88"/>
    </row>
    <row r="2014" spans="24:24" x14ac:dyDescent="0.2">
      <c r="X2014" s="88"/>
    </row>
    <row r="2015" spans="24:24" x14ac:dyDescent="0.2">
      <c r="X2015" s="88"/>
    </row>
    <row r="2016" spans="24:24" x14ac:dyDescent="0.2">
      <c r="X2016" s="88"/>
    </row>
    <row r="2017" spans="24:24" x14ac:dyDescent="0.2">
      <c r="X2017" s="88"/>
    </row>
    <row r="2018" spans="24:24" x14ac:dyDescent="0.2">
      <c r="X2018" s="88"/>
    </row>
    <row r="2019" spans="24:24" x14ac:dyDescent="0.2">
      <c r="X2019" s="88"/>
    </row>
    <row r="2020" spans="24:24" x14ac:dyDescent="0.2">
      <c r="X2020" s="88"/>
    </row>
    <row r="2021" spans="24:24" x14ac:dyDescent="0.2">
      <c r="X2021" s="88"/>
    </row>
    <row r="2022" spans="24:24" x14ac:dyDescent="0.2">
      <c r="X2022" s="88"/>
    </row>
    <row r="2023" spans="24:24" x14ac:dyDescent="0.2">
      <c r="X2023" s="88"/>
    </row>
    <row r="2024" spans="24:24" x14ac:dyDescent="0.2">
      <c r="X2024" s="88"/>
    </row>
    <row r="2025" spans="24:24" x14ac:dyDescent="0.2">
      <c r="X2025" s="88"/>
    </row>
    <row r="2026" spans="24:24" x14ac:dyDescent="0.2">
      <c r="X2026" s="88"/>
    </row>
    <row r="2027" spans="24:24" x14ac:dyDescent="0.2">
      <c r="X2027" s="88"/>
    </row>
    <row r="2028" spans="24:24" x14ac:dyDescent="0.2">
      <c r="X2028" s="88"/>
    </row>
    <row r="2029" spans="24:24" x14ac:dyDescent="0.2">
      <c r="X2029" s="88"/>
    </row>
    <row r="2030" spans="24:24" x14ac:dyDescent="0.2">
      <c r="X2030" s="88"/>
    </row>
    <row r="2031" spans="24:24" x14ac:dyDescent="0.2">
      <c r="X2031" s="88"/>
    </row>
    <row r="2032" spans="24:24" x14ac:dyDescent="0.2">
      <c r="X2032" s="88"/>
    </row>
    <row r="2033" spans="24:24" x14ac:dyDescent="0.2">
      <c r="X2033" s="88"/>
    </row>
    <row r="2034" spans="24:24" x14ac:dyDescent="0.2">
      <c r="X2034" s="88"/>
    </row>
    <row r="2035" spans="24:24" x14ac:dyDescent="0.2">
      <c r="X2035" s="88"/>
    </row>
    <row r="2036" spans="24:24" x14ac:dyDescent="0.2">
      <c r="X2036" s="88"/>
    </row>
    <row r="2037" spans="24:24" x14ac:dyDescent="0.2">
      <c r="X2037" s="88"/>
    </row>
    <row r="2038" spans="24:24" x14ac:dyDescent="0.2">
      <c r="X2038" s="88"/>
    </row>
    <row r="2039" spans="24:24" x14ac:dyDescent="0.2">
      <c r="X2039" s="88"/>
    </row>
    <row r="2040" spans="24:24" x14ac:dyDescent="0.2">
      <c r="X2040" s="88"/>
    </row>
    <row r="2041" spans="24:24" x14ac:dyDescent="0.2">
      <c r="X2041" s="88"/>
    </row>
    <row r="2042" spans="24:24" x14ac:dyDescent="0.2">
      <c r="X2042" s="88"/>
    </row>
    <row r="2043" spans="24:24" x14ac:dyDescent="0.2">
      <c r="X2043" s="88"/>
    </row>
    <row r="2044" spans="24:24" x14ac:dyDescent="0.2">
      <c r="X2044" s="88"/>
    </row>
    <row r="2045" spans="24:24" x14ac:dyDescent="0.2">
      <c r="X2045" s="88"/>
    </row>
    <row r="2046" spans="24:24" x14ac:dyDescent="0.2">
      <c r="X2046" s="88"/>
    </row>
    <row r="2047" spans="24:24" x14ac:dyDescent="0.2">
      <c r="X2047" s="88"/>
    </row>
    <row r="2048" spans="24:24" x14ac:dyDescent="0.2">
      <c r="X2048" s="88"/>
    </row>
    <row r="2049" spans="24:24" x14ac:dyDescent="0.2">
      <c r="X2049" s="88"/>
    </row>
    <row r="2050" spans="24:24" x14ac:dyDescent="0.2">
      <c r="X2050" s="88"/>
    </row>
    <row r="2051" spans="24:24" x14ac:dyDescent="0.2">
      <c r="X2051" s="88"/>
    </row>
    <row r="2052" spans="24:24" x14ac:dyDescent="0.2">
      <c r="X2052" s="88"/>
    </row>
    <row r="2053" spans="24:24" x14ac:dyDescent="0.2">
      <c r="X2053" s="88"/>
    </row>
    <row r="2054" spans="24:24" x14ac:dyDescent="0.2">
      <c r="X2054" s="88"/>
    </row>
    <row r="2055" spans="24:24" x14ac:dyDescent="0.2">
      <c r="X2055" s="88"/>
    </row>
    <row r="2056" spans="24:24" x14ac:dyDescent="0.2">
      <c r="X2056" s="88"/>
    </row>
    <row r="2057" spans="24:24" x14ac:dyDescent="0.2">
      <c r="X2057" s="88"/>
    </row>
    <row r="2058" spans="24:24" x14ac:dyDescent="0.2">
      <c r="X2058" s="88"/>
    </row>
    <row r="2059" spans="24:24" x14ac:dyDescent="0.2">
      <c r="X2059" s="88"/>
    </row>
    <row r="2060" spans="24:24" x14ac:dyDescent="0.2">
      <c r="X2060" s="88"/>
    </row>
    <row r="2061" spans="24:24" x14ac:dyDescent="0.2">
      <c r="X2061" s="88"/>
    </row>
    <row r="2062" spans="24:24" x14ac:dyDescent="0.2">
      <c r="X2062" s="88"/>
    </row>
    <row r="2063" spans="24:24" x14ac:dyDescent="0.2">
      <c r="X2063" s="88"/>
    </row>
    <row r="2064" spans="24:24" x14ac:dyDescent="0.2">
      <c r="X2064" s="88"/>
    </row>
    <row r="2065" spans="24:24" x14ac:dyDescent="0.2">
      <c r="X2065" s="88"/>
    </row>
    <row r="2066" spans="24:24" x14ac:dyDescent="0.2">
      <c r="X2066" s="88"/>
    </row>
    <row r="2067" spans="24:24" x14ac:dyDescent="0.2">
      <c r="X2067" s="88"/>
    </row>
    <row r="2068" spans="24:24" x14ac:dyDescent="0.2">
      <c r="X2068" s="88"/>
    </row>
    <row r="2069" spans="24:24" x14ac:dyDescent="0.2">
      <c r="X2069" s="88"/>
    </row>
    <row r="2070" spans="24:24" x14ac:dyDescent="0.2">
      <c r="X2070" s="88"/>
    </row>
    <row r="2071" spans="24:24" x14ac:dyDescent="0.2">
      <c r="X2071" s="88"/>
    </row>
    <row r="2072" spans="24:24" x14ac:dyDescent="0.2">
      <c r="X2072" s="88"/>
    </row>
    <row r="2073" spans="24:24" x14ac:dyDescent="0.2">
      <c r="X2073" s="88"/>
    </row>
    <row r="2074" spans="24:24" x14ac:dyDescent="0.2">
      <c r="X2074" s="88"/>
    </row>
    <row r="2075" spans="24:24" x14ac:dyDescent="0.2">
      <c r="X2075" s="88"/>
    </row>
    <row r="2076" spans="24:24" x14ac:dyDescent="0.2">
      <c r="X2076" s="88"/>
    </row>
    <row r="2077" spans="24:24" x14ac:dyDescent="0.2">
      <c r="X2077" s="88"/>
    </row>
    <row r="2078" spans="24:24" x14ac:dyDescent="0.2">
      <c r="X2078" s="88"/>
    </row>
    <row r="2079" spans="24:24" x14ac:dyDescent="0.2">
      <c r="X2079" s="88"/>
    </row>
    <row r="2080" spans="24:24" x14ac:dyDescent="0.2">
      <c r="X2080" s="88"/>
    </row>
    <row r="2081" spans="24:24" x14ac:dyDescent="0.2">
      <c r="X2081" s="88"/>
    </row>
    <row r="2082" spans="24:24" x14ac:dyDescent="0.2">
      <c r="X2082" s="88"/>
    </row>
    <row r="2083" spans="24:24" x14ac:dyDescent="0.2">
      <c r="X2083" s="88"/>
    </row>
    <row r="2084" spans="24:24" x14ac:dyDescent="0.2">
      <c r="X2084" s="88"/>
    </row>
    <row r="2085" spans="24:24" x14ac:dyDescent="0.2">
      <c r="X2085" s="88"/>
    </row>
    <row r="2086" spans="24:24" x14ac:dyDescent="0.2">
      <c r="X2086" s="88"/>
    </row>
    <row r="2087" spans="24:24" x14ac:dyDescent="0.2">
      <c r="X2087" s="88"/>
    </row>
    <row r="2088" spans="24:24" x14ac:dyDescent="0.2">
      <c r="X2088" s="88"/>
    </row>
    <row r="2089" spans="24:24" x14ac:dyDescent="0.2">
      <c r="X2089" s="88"/>
    </row>
    <row r="2090" spans="24:24" x14ac:dyDescent="0.2">
      <c r="X2090" s="88"/>
    </row>
    <row r="2091" spans="24:24" x14ac:dyDescent="0.2">
      <c r="X2091" s="88"/>
    </row>
    <row r="2092" spans="24:24" x14ac:dyDescent="0.2">
      <c r="X2092" s="88"/>
    </row>
    <row r="2093" spans="24:24" x14ac:dyDescent="0.2">
      <c r="X2093" s="88"/>
    </row>
    <row r="2094" spans="24:24" x14ac:dyDescent="0.2">
      <c r="X2094" s="88"/>
    </row>
    <row r="2095" spans="24:24" x14ac:dyDescent="0.2">
      <c r="X2095" s="88"/>
    </row>
    <row r="2096" spans="24:24" x14ac:dyDescent="0.2">
      <c r="X2096" s="88"/>
    </row>
    <row r="2097" spans="24:24" x14ac:dyDescent="0.2">
      <c r="X2097" s="88"/>
    </row>
    <row r="2098" spans="24:24" x14ac:dyDescent="0.2">
      <c r="X2098" s="88"/>
    </row>
    <row r="2099" spans="24:24" x14ac:dyDescent="0.2">
      <c r="X2099" s="88"/>
    </row>
    <row r="2100" spans="24:24" x14ac:dyDescent="0.2">
      <c r="X2100" s="88"/>
    </row>
    <row r="2101" spans="24:24" x14ac:dyDescent="0.2">
      <c r="X2101" s="88"/>
    </row>
    <row r="2102" spans="24:24" x14ac:dyDescent="0.2">
      <c r="X2102" s="88"/>
    </row>
    <row r="2103" spans="24:24" x14ac:dyDescent="0.2">
      <c r="X2103" s="88"/>
    </row>
    <row r="2104" spans="24:24" x14ac:dyDescent="0.2">
      <c r="X2104" s="88"/>
    </row>
    <row r="2105" spans="24:24" x14ac:dyDescent="0.2">
      <c r="X2105" s="88"/>
    </row>
    <row r="2106" spans="24:24" x14ac:dyDescent="0.2">
      <c r="X2106" s="88"/>
    </row>
    <row r="2107" spans="24:24" x14ac:dyDescent="0.2">
      <c r="X2107" s="88"/>
    </row>
    <row r="2108" spans="24:24" x14ac:dyDescent="0.2">
      <c r="X2108" s="88"/>
    </row>
    <row r="2109" spans="24:24" x14ac:dyDescent="0.2">
      <c r="X2109" s="88"/>
    </row>
    <row r="2110" spans="24:24" x14ac:dyDescent="0.2">
      <c r="X2110" s="88"/>
    </row>
    <row r="2111" spans="24:24" x14ac:dyDescent="0.2">
      <c r="X2111" s="88"/>
    </row>
    <row r="2112" spans="24:24" x14ac:dyDescent="0.2">
      <c r="X2112" s="88"/>
    </row>
    <row r="2113" spans="24:24" x14ac:dyDescent="0.2">
      <c r="X2113" s="88"/>
    </row>
    <row r="2114" spans="24:24" x14ac:dyDescent="0.2">
      <c r="X2114" s="88"/>
    </row>
    <row r="2115" spans="24:24" x14ac:dyDescent="0.2">
      <c r="X2115" s="88"/>
    </row>
    <row r="2116" spans="24:24" x14ac:dyDescent="0.2">
      <c r="X2116" s="88"/>
    </row>
    <row r="2117" spans="24:24" x14ac:dyDescent="0.2">
      <c r="X2117" s="88"/>
    </row>
    <row r="2118" spans="24:24" x14ac:dyDescent="0.2">
      <c r="X2118" s="88"/>
    </row>
    <row r="2119" spans="24:24" x14ac:dyDescent="0.2">
      <c r="X2119" s="88"/>
    </row>
    <row r="2120" spans="24:24" x14ac:dyDescent="0.2">
      <c r="X2120" s="88"/>
    </row>
    <row r="2121" spans="24:24" x14ac:dyDescent="0.2">
      <c r="X2121" s="88"/>
    </row>
    <row r="2122" spans="24:24" x14ac:dyDescent="0.2">
      <c r="X2122" s="88"/>
    </row>
    <row r="2123" spans="24:24" x14ac:dyDescent="0.2">
      <c r="X2123" s="88"/>
    </row>
    <row r="2124" spans="24:24" x14ac:dyDescent="0.2">
      <c r="X2124" s="88"/>
    </row>
    <row r="2125" spans="24:24" x14ac:dyDescent="0.2">
      <c r="X2125" s="88"/>
    </row>
    <row r="2126" spans="24:24" x14ac:dyDescent="0.2">
      <c r="X2126" s="88"/>
    </row>
    <row r="2127" spans="24:24" x14ac:dyDescent="0.2">
      <c r="X2127" s="88"/>
    </row>
    <row r="2128" spans="24:24" x14ac:dyDescent="0.2">
      <c r="X2128" s="88"/>
    </row>
    <row r="2129" spans="24:24" x14ac:dyDescent="0.2">
      <c r="X2129" s="88"/>
    </row>
    <row r="2130" spans="24:24" x14ac:dyDescent="0.2">
      <c r="X2130" s="88"/>
    </row>
    <row r="2131" spans="24:24" x14ac:dyDescent="0.2">
      <c r="X2131" s="88"/>
    </row>
    <row r="2132" spans="24:24" x14ac:dyDescent="0.2">
      <c r="X2132" s="88"/>
    </row>
    <row r="2133" spans="24:24" x14ac:dyDescent="0.2">
      <c r="X2133" s="88"/>
    </row>
    <row r="2134" spans="24:24" x14ac:dyDescent="0.2">
      <c r="X2134" s="88"/>
    </row>
    <row r="2135" spans="24:24" x14ac:dyDescent="0.2">
      <c r="X2135" s="88"/>
    </row>
    <row r="2136" spans="24:24" x14ac:dyDescent="0.2">
      <c r="X2136" s="88"/>
    </row>
    <row r="2137" spans="24:24" x14ac:dyDescent="0.2">
      <c r="X2137" s="88"/>
    </row>
    <row r="2138" spans="24:24" x14ac:dyDescent="0.2">
      <c r="X2138" s="88"/>
    </row>
    <row r="2139" spans="24:24" x14ac:dyDescent="0.2">
      <c r="X2139" s="88"/>
    </row>
    <row r="2140" spans="24:24" x14ac:dyDescent="0.2">
      <c r="X2140" s="88"/>
    </row>
    <row r="2141" spans="24:24" x14ac:dyDescent="0.2">
      <c r="X2141" s="88"/>
    </row>
    <row r="2142" spans="24:24" x14ac:dyDescent="0.2">
      <c r="X2142" s="88"/>
    </row>
    <row r="2143" spans="24:24" x14ac:dyDescent="0.2">
      <c r="X2143" s="88"/>
    </row>
    <row r="2144" spans="24:24" x14ac:dyDescent="0.2">
      <c r="X2144" s="88"/>
    </row>
    <row r="2145" spans="24:24" x14ac:dyDescent="0.2">
      <c r="X2145" s="88"/>
    </row>
    <row r="2146" spans="24:24" x14ac:dyDescent="0.2">
      <c r="X2146" s="88"/>
    </row>
    <row r="2147" spans="24:24" x14ac:dyDescent="0.2">
      <c r="X2147" s="88"/>
    </row>
    <row r="2148" spans="24:24" x14ac:dyDescent="0.2">
      <c r="X2148" s="88"/>
    </row>
    <row r="2149" spans="24:24" x14ac:dyDescent="0.2">
      <c r="X2149" s="88"/>
    </row>
    <row r="2150" spans="24:24" x14ac:dyDescent="0.2">
      <c r="X2150" s="88"/>
    </row>
    <row r="2151" spans="24:24" x14ac:dyDescent="0.2">
      <c r="X2151" s="88"/>
    </row>
    <row r="2152" spans="24:24" x14ac:dyDescent="0.2">
      <c r="X2152" s="88"/>
    </row>
    <row r="2153" spans="24:24" x14ac:dyDescent="0.2">
      <c r="X2153" s="88"/>
    </row>
    <row r="2154" spans="24:24" x14ac:dyDescent="0.2">
      <c r="X2154" s="88"/>
    </row>
    <row r="2155" spans="24:24" x14ac:dyDescent="0.2">
      <c r="X2155" s="88"/>
    </row>
    <row r="2156" spans="24:24" x14ac:dyDescent="0.2">
      <c r="X2156" s="88"/>
    </row>
    <row r="2157" spans="24:24" x14ac:dyDescent="0.2">
      <c r="X2157" s="88"/>
    </row>
    <row r="2158" spans="24:24" x14ac:dyDescent="0.2">
      <c r="X2158" s="88"/>
    </row>
    <row r="2159" spans="24:24" x14ac:dyDescent="0.2">
      <c r="X2159" s="88"/>
    </row>
    <row r="2160" spans="24:24" x14ac:dyDescent="0.2">
      <c r="X2160" s="88"/>
    </row>
    <row r="2161" spans="24:24" x14ac:dyDescent="0.2">
      <c r="X2161" s="88"/>
    </row>
    <row r="2162" spans="24:24" x14ac:dyDescent="0.2">
      <c r="X2162" s="88"/>
    </row>
    <row r="2163" spans="24:24" x14ac:dyDescent="0.2">
      <c r="X2163" s="88"/>
    </row>
    <row r="2164" spans="24:24" x14ac:dyDescent="0.2">
      <c r="X2164" s="88"/>
    </row>
    <row r="2165" spans="24:24" x14ac:dyDescent="0.2">
      <c r="X2165" s="88"/>
    </row>
    <row r="2166" spans="24:24" x14ac:dyDescent="0.2">
      <c r="X2166" s="88"/>
    </row>
    <row r="2167" spans="24:24" x14ac:dyDescent="0.2">
      <c r="X2167" s="88"/>
    </row>
    <row r="2168" spans="24:24" x14ac:dyDescent="0.2">
      <c r="X2168" s="88"/>
    </row>
    <row r="2169" spans="24:24" x14ac:dyDescent="0.2">
      <c r="X2169" s="88"/>
    </row>
    <row r="2170" spans="24:24" x14ac:dyDescent="0.2">
      <c r="X2170" s="88"/>
    </row>
    <row r="2171" spans="24:24" x14ac:dyDescent="0.2">
      <c r="X2171" s="88"/>
    </row>
    <row r="2172" spans="24:24" x14ac:dyDescent="0.2">
      <c r="X2172" s="88"/>
    </row>
    <row r="2173" spans="24:24" x14ac:dyDescent="0.2">
      <c r="X2173" s="88"/>
    </row>
    <row r="2174" spans="24:24" x14ac:dyDescent="0.2">
      <c r="X2174" s="88"/>
    </row>
    <row r="2175" spans="24:24" x14ac:dyDescent="0.2">
      <c r="X2175" s="88"/>
    </row>
    <row r="2176" spans="24:24" x14ac:dyDescent="0.2">
      <c r="X2176" s="88"/>
    </row>
    <row r="2177" spans="24:24" x14ac:dyDescent="0.2">
      <c r="X2177" s="88"/>
    </row>
    <row r="2178" spans="24:24" x14ac:dyDescent="0.2">
      <c r="X2178" s="88"/>
    </row>
    <row r="2179" spans="24:24" x14ac:dyDescent="0.2">
      <c r="X2179" s="88"/>
    </row>
    <row r="2180" spans="24:24" x14ac:dyDescent="0.2">
      <c r="X2180" s="88"/>
    </row>
    <row r="2181" spans="24:24" x14ac:dyDescent="0.2">
      <c r="X2181" s="88"/>
    </row>
    <row r="2182" spans="24:24" x14ac:dyDescent="0.2">
      <c r="X2182" s="88"/>
    </row>
    <row r="2183" spans="24:24" x14ac:dyDescent="0.2">
      <c r="X2183" s="88"/>
    </row>
    <row r="2184" spans="24:24" x14ac:dyDescent="0.2">
      <c r="X2184" s="88"/>
    </row>
    <row r="2185" spans="24:24" x14ac:dyDescent="0.2">
      <c r="X2185" s="88"/>
    </row>
    <row r="2186" spans="24:24" x14ac:dyDescent="0.2">
      <c r="X2186" s="88"/>
    </row>
    <row r="2187" spans="24:24" x14ac:dyDescent="0.2">
      <c r="X2187" s="88"/>
    </row>
    <row r="2188" spans="24:24" x14ac:dyDescent="0.2">
      <c r="X2188" s="88"/>
    </row>
    <row r="2189" spans="24:24" x14ac:dyDescent="0.2">
      <c r="X2189" s="88"/>
    </row>
    <row r="2190" spans="24:24" x14ac:dyDescent="0.2">
      <c r="X2190" s="88"/>
    </row>
    <row r="2191" spans="24:24" x14ac:dyDescent="0.2">
      <c r="X2191" s="88"/>
    </row>
    <row r="2192" spans="24:24" x14ac:dyDescent="0.2">
      <c r="X2192" s="88"/>
    </row>
    <row r="2193" spans="24:24" x14ac:dyDescent="0.2">
      <c r="X2193" s="88"/>
    </row>
    <row r="2194" spans="24:24" x14ac:dyDescent="0.2">
      <c r="X2194" s="88"/>
    </row>
    <row r="2195" spans="24:24" x14ac:dyDescent="0.2">
      <c r="X2195" s="88"/>
    </row>
    <row r="2196" spans="24:24" x14ac:dyDescent="0.2">
      <c r="X2196" s="88"/>
    </row>
    <row r="2197" spans="24:24" x14ac:dyDescent="0.2">
      <c r="X2197" s="88"/>
    </row>
    <row r="2198" spans="24:24" x14ac:dyDescent="0.2">
      <c r="X2198" s="88"/>
    </row>
    <row r="2199" spans="24:24" x14ac:dyDescent="0.2">
      <c r="X2199" s="88"/>
    </row>
    <row r="2200" spans="24:24" x14ac:dyDescent="0.2">
      <c r="X2200" s="88"/>
    </row>
    <row r="2201" spans="24:24" x14ac:dyDescent="0.2">
      <c r="X2201" s="88"/>
    </row>
    <row r="2202" spans="24:24" x14ac:dyDescent="0.2">
      <c r="X2202" s="88"/>
    </row>
    <row r="2203" spans="24:24" x14ac:dyDescent="0.2">
      <c r="X2203" s="88"/>
    </row>
    <row r="2204" spans="24:24" x14ac:dyDescent="0.2">
      <c r="X2204" s="88"/>
    </row>
    <row r="2205" spans="24:24" x14ac:dyDescent="0.2">
      <c r="X2205" s="88"/>
    </row>
    <row r="2206" spans="24:24" x14ac:dyDescent="0.2">
      <c r="X2206" s="88"/>
    </row>
    <row r="2207" spans="24:24" x14ac:dyDescent="0.2">
      <c r="X2207" s="88"/>
    </row>
    <row r="2208" spans="24:24" x14ac:dyDescent="0.2">
      <c r="X2208" s="88"/>
    </row>
    <row r="2209" spans="24:24" x14ac:dyDescent="0.2">
      <c r="X2209" s="88"/>
    </row>
    <row r="2210" spans="24:24" x14ac:dyDescent="0.2">
      <c r="X2210" s="88"/>
    </row>
    <row r="2211" spans="24:24" x14ac:dyDescent="0.2">
      <c r="X2211" s="88"/>
    </row>
    <row r="2212" spans="24:24" x14ac:dyDescent="0.2">
      <c r="X2212" s="88"/>
    </row>
    <row r="2213" spans="24:24" x14ac:dyDescent="0.2">
      <c r="X2213" s="88"/>
    </row>
    <row r="2214" spans="24:24" x14ac:dyDescent="0.2">
      <c r="X2214" s="88"/>
    </row>
    <row r="2215" spans="24:24" x14ac:dyDescent="0.2">
      <c r="X2215" s="88"/>
    </row>
    <row r="2216" spans="24:24" x14ac:dyDescent="0.2">
      <c r="X2216" s="88"/>
    </row>
    <row r="2217" spans="24:24" x14ac:dyDescent="0.2">
      <c r="X2217" s="88"/>
    </row>
    <row r="2218" spans="24:24" x14ac:dyDescent="0.2">
      <c r="X2218" s="88"/>
    </row>
    <row r="2219" spans="24:24" x14ac:dyDescent="0.2">
      <c r="X2219" s="88"/>
    </row>
    <row r="2220" spans="24:24" x14ac:dyDescent="0.2">
      <c r="X2220" s="88"/>
    </row>
    <row r="2221" spans="24:24" x14ac:dyDescent="0.2">
      <c r="X2221" s="88"/>
    </row>
    <row r="2222" spans="24:24" x14ac:dyDescent="0.2">
      <c r="X2222" s="88"/>
    </row>
    <row r="2223" spans="24:24" x14ac:dyDescent="0.2">
      <c r="X2223" s="88"/>
    </row>
    <row r="2224" spans="24:24" x14ac:dyDescent="0.2">
      <c r="X2224" s="88"/>
    </row>
    <row r="2225" spans="24:24" x14ac:dyDescent="0.2">
      <c r="X2225" s="88"/>
    </row>
    <row r="2226" spans="24:24" x14ac:dyDescent="0.2">
      <c r="X2226" s="88"/>
    </row>
    <row r="2227" spans="24:24" x14ac:dyDescent="0.2">
      <c r="X2227" s="88"/>
    </row>
    <row r="2228" spans="24:24" x14ac:dyDescent="0.2">
      <c r="X2228" s="88"/>
    </row>
    <row r="2229" spans="24:24" x14ac:dyDescent="0.2">
      <c r="X2229" s="88"/>
    </row>
    <row r="2230" spans="24:24" x14ac:dyDescent="0.2">
      <c r="X2230" s="88"/>
    </row>
    <row r="2231" spans="24:24" x14ac:dyDescent="0.2">
      <c r="X2231" s="88"/>
    </row>
    <row r="2232" spans="24:24" x14ac:dyDescent="0.2">
      <c r="X2232" s="88"/>
    </row>
    <row r="2233" spans="24:24" x14ac:dyDescent="0.2">
      <c r="X2233" s="88"/>
    </row>
    <row r="2234" spans="24:24" x14ac:dyDescent="0.2">
      <c r="X2234" s="88"/>
    </row>
    <row r="2235" spans="24:24" x14ac:dyDescent="0.2">
      <c r="X2235" s="88"/>
    </row>
    <row r="2236" spans="24:24" x14ac:dyDescent="0.2">
      <c r="X2236" s="88"/>
    </row>
    <row r="2237" spans="24:24" x14ac:dyDescent="0.2">
      <c r="X2237" s="88"/>
    </row>
    <row r="2238" spans="24:24" x14ac:dyDescent="0.2">
      <c r="X2238" s="88"/>
    </row>
    <row r="2239" spans="24:24" x14ac:dyDescent="0.2">
      <c r="X2239" s="88"/>
    </row>
    <row r="2240" spans="24:24" x14ac:dyDescent="0.2">
      <c r="X2240" s="88"/>
    </row>
    <row r="2241" spans="24:24" x14ac:dyDescent="0.2">
      <c r="X2241" s="88"/>
    </row>
    <row r="2242" spans="24:24" x14ac:dyDescent="0.2">
      <c r="X2242" s="88"/>
    </row>
    <row r="2243" spans="24:24" x14ac:dyDescent="0.2">
      <c r="X2243" s="88"/>
    </row>
    <row r="2244" spans="24:24" x14ac:dyDescent="0.2">
      <c r="X2244" s="88"/>
    </row>
    <row r="2245" spans="24:24" x14ac:dyDescent="0.2">
      <c r="X2245" s="88"/>
    </row>
    <row r="2246" spans="24:24" x14ac:dyDescent="0.2">
      <c r="X2246" s="88"/>
    </row>
    <row r="2247" spans="24:24" x14ac:dyDescent="0.2">
      <c r="X2247" s="88"/>
    </row>
    <row r="2248" spans="24:24" x14ac:dyDescent="0.2">
      <c r="X2248" s="88"/>
    </row>
    <row r="2249" spans="24:24" x14ac:dyDescent="0.2">
      <c r="X2249" s="88"/>
    </row>
    <row r="2250" spans="24:24" x14ac:dyDescent="0.2">
      <c r="X2250" s="88"/>
    </row>
    <row r="2251" spans="24:24" x14ac:dyDescent="0.2">
      <c r="X2251" s="88"/>
    </row>
    <row r="2252" spans="24:24" x14ac:dyDescent="0.2">
      <c r="X2252" s="88"/>
    </row>
    <row r="2253" spans="24:24" x14ac:dyDescent="0.2">
      <c r="X2253" s="88"/>
    </row>
    <row r="2254" spans="24:24" x14ac:dyDescent="0.2">
      <c r="X2254" s="88"/>
    </row>
    <row r="2255" spans="24:24" x14ac:dyDescent="0.2">
      <c r="X2255" s="88"/>
    </row>
    <row r="2256" spans="24:24" x14ac:dyDescent="0.2">
      <c r="X2256" s="88"/>
    </row>
    <row r="2257" spans="24:24" x14ac:dyDescent="0.2">
      <c r="X2257" s="88"/>
    </row>
    <row r="2258" spans="24:24" x14ac:dyDescent="0.2">
      <c r="X2258" s="88"/>
    </row>
    <row r="2259" spans="24:24" x14ac:dyDescent="0.2">
      <c r="X2259" s="88"/>
    </row>
    <row r="2260" spans="24:24" x14ac:dyDescent="0.2">
      <c r="X2260" s="88"/>
    </row>
    <row r="2261" spans="24:24" x14ac:dyDescent="0.2">
      <c r="X2261" s="88"/>
    </row>
    <row r="2262" spans="24:24" x14ac:dyDescent="0.2">
      <c r="X2262" s="88"/>
    </row>
    <row r="2263" spans="24:24" x14ac:dyDescent="0.2">
      <c r="X2263" s="88"/>
    </row>
    <row r="2264" spans="24:24" x14ac:dyDescent="0.2">
      <c r="X2264" s="88"/>
    </row>
    <row r="2265" spans="24:24" x14ac:dyDescent="0.2">
      <c r="X2265" s="88"/>
    </row>
    <row r="2266" spans="24:24" x14ac:dyDescent="0.2">
      <c r="X2266" s="88"/>
    </row>
    <row r="2267" spans="24:24" x14ac:dyDescent="0.2">
      <c r="X2267" s="88"/>
    </row>
    <row r="2268" spans="24:24" x14ac:dyDescent="0.2">
      <c r="X2268" s="88"/>
    </row>
    <row r="2269" spans="24:24" x14ac:dyDescent="0.2">
      <c r="X2269" s="88"/>
    </row>
    <row r="2270" spans="24:24" x14ac:dyDescent="0.2">
      <c r="X2270" s="88"/>
    </row>
    <row r="2271" spans="24:24" x14ac:dyDescent="0.2">
      <c r="X2271" s="88"/>
    </row>
    <row r="2272" spans="24:24" x14ac:dyDescent="0.2">
      <c r="X2272" s="88"/>
    </row>
    <row r="2273" spans="24:24" x14ac:dyDescent="0.2">
      <c r="X2273" s="88"/>
    </row>
    <row r="2274" spans="24:24" x14ac:dyDescent="0.2">
      <c r="X2274" s="88"/>
    </row>
    <row r="2275" spans="24:24" x14ac:dyDescent="0.2">
      <c r="X2275" s="88"/>
    </row>
    <row r="2276" spans="24:24" x14ac:dyDescent="0.2">
      <c r="X2276" s="88"/>
    </row>
    <row r="2277" spans="24:24" x14ac:dyDescent="0.2">
      <c r="X2277" s="88"/>
    </row>
    <row r="2278" spans="24:24" x14ac:dyDescent="0.2">
      <c r="X2278" s="88"/>
    </row>
    <row r="2279" spans="24:24" x14ac:dyDescent="0.2">
      <c r="X2279" s="88"/>
    </row>
    <row r="2280" spans="24:24" x14ac:dyDescent="0.2">
      <c r="X2280" s="88"/>
    </row>
    <row r="2281" spans="24:24" x14ac:dyDescent="0.2">
      <c r="X2281" s="88"/>
    </row>
    <row r="2282" spans="24:24" x14ac:dyDescent="0.2">
      <c r="X2282" s="88"/>
    </row>
    <row r="2283" spans="24:24" x14ac:dyDescent="0.2">
      <c r="X2283" s="88"/>
    </row>
    <row r="2284" spans="24:24" x14ac:dyDescent="0.2">
      <c r="X2284" s="88"/>
    </row>
    <row r="2285" spans="24:24" x14ac:dyDescent="0.2">
      <c r="X2285" s="88"/>
    </row>
    <row r="2286" spans="24:24" x14ac:dyDescent="0.2">
      <c r="X2286" s="88"/>
    </row>
    <row r="2287" spans="24:24" x14ac:dyDescent="0.2">
      <c r="X2287" s="88"/>
    </row>
    <row r="2288" spans="24:24" x14ac:dyDescent="0.2">
      <c r="X2288" s="88"/>
    </row>
    <row r="2289" spans="24:24" x14ac:dyDescent="0.2">
      <c r="X2289" s="88"/>
    </row>
    <row r="2290" spans="24:24" x14ac:dyDescent="0.2">
      <c r="X2290" s="88"/>
    </row>
    <row r="2291" spans="24:24" x14ac:dyDescent="0.2">
      <c r="X2291" s="88"/>
    </row>
    <row r="2292" spans="24:24" x14ac:dyDescent="0.2">
      <c r="X2292" s="88"/>
    </row>
    <row r="2293" spans="24:24" x14ac:dyDescent="0.2">
      <c r="X2293" s="88"/>
    </row>
    <row r="2294" spans="24:24" x14ac:dyDescent="0.2">
      <c r="X2294" s="88"/>
    </row>
    <row r="2295" spans="24:24" x14ac:dyDescent="0.2">
      <c r="X2295" s="88"/>
    </row>
    <row r="2296" spans="24:24" x14ac:dyDescent="0.2">
      <c r="X2296" s="88"/>
    </row>
    <row r="2297" spans="24:24" x14ac:dyDescent="0.2">
      <c r="X2297" s="88"/>
    </row>
    <row r="2298" spans="24:24" x14ac:dyDescent="0.2">
      <c r="X2298" s="88"/>
    </row>
    <row r="2299" spans="24:24" x14ac:dyDescent="0.2">
      <c r="X2299" s="88"/>
    </row>
    <row r="2300" spans="24:24" x14ac:dyDescent="0.2">
      <c r="X2300" s="88"/>
    </row>
    <row r="2301" spans="24:24" x14ac:dyDescent="0.2">
      <c r="X2301" s="88"/>
    </row>
    <row r="2302" spans="24:24" x14ac:dyDescent="0.2">
      <c r="X2302" s="88"/>
    </row>
    <row r="2303" spans="24:24" x14ac:dyDescent="0.2">
      <c r="X2303" s="88"/>
    </row>
    <row r="2304" spans="24:24" x14ac:dyDescent="0.2">
      <c r="X2304" s="88"/>
    </row>
    <row r="2305" spans="24:24" x14ac:dyDescent="0.2">
      <c r="X2305" s="88"/>
    </row>
    <row r="2306" spans="24:24" x14ac:dyDescent="0.2">
      <c r="X2306" s="88"/>
    </row>
    <row r="2307" spans="24:24" x14ac:dyDescent="0.2">
      <c r="X2307" s="88"/>
    </row>
    <row r="2308" spans="24:24" x14ac:dyDescent="0.2">
      <c r="X2308" s="88"/>
    </row>
    <row r="2309" spans="24:24" x14ac:dyDescent="0.2">
      <c r="X2309" s="88"/>
    </row>
    <row r="2310" spans="24:24" x14ac:dyDescent="0.2">
      <c r="X2310" s="88"/>
    </row>
    <row r="2311" spans="24:24" x14ac:dyDescent="0.2">
      <c r="X2311" s="88"/>
    </row>
    <row r="2312" spans="24:24" x14ac:dyDescent="0.2">
      <c r="X2312" s="88"/>
    </row>
    <row r="2313" spans="24:24" x14ac:dyDescent="0.2">
      <c r="X2313" s="88"/>
    </row>
    <row r="2314" spans="24:24" x14ac:dyDescent="0.2">
      <c r="X2314" s="88"/>
    </row>
    <row r="2315" spans="24:24" x14ac:dyDescent="0.2">
      <c r="X2315" s="88"/>
    </row>
    <row r="2316" spans="24:24" x14ac:dyDescent="0.2">
      <c r="X2316" s="88"/>
    </row>
    <row r="2317" spans="24:24" x14ac:dyDescent="0.2">
      <c r="X2317" s="88"/>
    </row>
    <row r="2318" spans="24:24" x14ac:dyDescent="0.2">
      <c r="X2318" s="88"/>
    </row>
    <row r="2319" spans="24:24" x14ac:dyDescent="0.2">
      <c r="X2319" s="88"/>
    </row>
    <row r="2320" spans="24:24" x14ac:dyDescent="0.2">
      <c r="X2320" s="88"/>
    </row>
    <row r="2321" spans="24:24" x14ac:dyDescent="0.2">
      <c r="X2321" s="88"/>
    </row>
    <row r="2322" spans="24:24" x14ac:dyDescent="0.2">
      <c r="X2322" s="88"/>
    </row>
    <row r="2323" spans="24:24" x14ac:dyDescent="0.2">
      <c r="X2323" s="88"/>
    </row>
    <row r="2324" spans="24:24" x14ac:dyDescent="0.2">
      <c r="X2324" s="88"/>
    </row>
    <row r="2325" spans="24:24" x14ac:dyDescent="0.2">
      <c r="X2325" s="88"/>
    </row>
    <row r="2326" spans="24:24" x14ac:dyDescent="0.2">
      <c r="X2326" s="88"/>
    </row>
    <row r="2327" spans="24:24" x14ac:dyDescent="0.2">
      <c r="X2327" s="88"/>
    </row>
    <row r="2328" spans="24:24" x14ac:dyDescent="0.2">
      <c r="X2328" s="88"/>
    </row>
    <row r="2329" spans="24:24" x14ac:dyDescent="0.2">
      <c r="X2329" s="88"/>
    </row>
    <row r="2330" spans="24:24" x14ac:dyDescent="0.2">
      <c r="X2330" s="88"/>
    </row>
    <row r="2331" spans="24:24" x14ac:dyDescent="0.2">
      <c r="X2331" s="88"/>
    </row>
    <row r="2332" spans="24:24" x14ac:dyDescent="0.2">
      <c r="X2332" s="88"/>
    </row>
    <row r="2333" spans="24:24" x14ac:dyDescent="0.2">
      <c r="X2333" s="88"/>
    </row>
    <row r="2334" spans="24:24" x14ac:dyDescent="0.2">
      <c r="X2334" s="88"/>
    </row>
    <row r="2335" spans="24:24" x14ac:dyDescent="0.2">
      <c r="X2335" s="88"/>
    </row>
    <row r="2336" spans="24:24" x14ac:dyDescent="0.2">
      <c r="X2336" s="88"/>
    </row>
    <row r="2337" spans="24:24" x14ac:dyDescent="0.2">
      <c r="X2337" s="88"/>
    </row>
    <row r="2338" spans="24:24" x14ac:dyDescent="0.2">
      <c r="X2338" s="88"/>
    </row>
    <row r="2339" spans="24:24" x14ac:dyDescent="0.2">
      <c r="X2339" s="88"/>
    </row>
    <row r="2340" spans="24:24" x14ac:dyDescent="0.2">
      <c r="X2340" s="88"/>
    </row>
    <row r="2341" spans="24:24" x14ac:dyDescent="0.2">
      <c r="X2341" s="88"/>
    </row>
    <row r="2342" spans="24:24" x14ac:dyDescent="0.2">
      <c r="X2342" s="88"/>
    </row>
    <row r="2343" spans="24:24" x14ac:dyDescent="0.2">
      <c r="X2343" s="88"/>
    </row>
    <row r="2344" spans="24:24" x14ac:dyDescent="0.2">
      <c r="X2344" s="88"/>
    </row>
    <row r="2345" spans="24:24" x14ac:dyDescent="0.2">
      <c r="X2345" s="88"/>
    </row>
    <row r="2346" spans="24:24" x14ac:dyDescent="0.2">
      <c r="X2346" s="88"/>
    </row>
    <row r="2347" spans="24:24" x14ac:dyDescent="0.2">
      <c r="X2347" s="88"/>
    </row>
    <row r="2348" spans="24:24" x14ac:dyDescent="0.2">
      <c r="X2348" s="88"/>
    </row>
    <row r="2349" spans="24:24" x14ac:dyDescent="0.2">
      <c r="X2349" s="88"/>
    </row>
    <row r="2350" spans="24:24" x14ac:dyDescent="0.2">
      <c r="X2350" s="88"/>
    </row>
    <row r="2351" spans="24:24" x14ac:dyDescent="0.2">
      <c r="X2351" s="88"/>
    </row>
    <row r="2352" spans="24:24" x14ac:dyDescent="0.2">
      <c r="X2352" s="88"/>
    </row>
    <row r="2353" spans="24:24" x14ac:dyDescent="0.2">
      <c r="X2353" s="88"/>
    </row>
    <row r="2354" spans="24:24" x14ac:dyDescent="0.2">
      <c r="X2354" s="88"/>
    </row>
    <row r="2355" spans="24:24" x14ac:dyDescent="0.2">
      <c r="X2355" s="88"/>
    </row>
    <row r="2356" spans="24:24" x14ac:dyDescent="0.2">
      <c r="X2356" s="88"/>
    </row>
    <row r="2357" spans="24:24" x14ac:dyDescent="0.2">
      <c r="X2357" s="88"/>
    </row>
    <row r="2358" spans="24:24" x14ac:dyDescent="0.2">
      <c r="X2358" s="88"/>
    </row>
    <row r="2359" spans="24:24" x14ac:dyDescent="0.2">
      <c r="X2359" s="88"/>
    </row>
    <row r="2360" spans="24:24" x14ac:dyDescent="0.2">
      <c r="X2360" s="88"/>
    </row>
    <row r="2361" spans="24:24" x14ac:dyDescent="0.2">
      <c r="X2361" s="88"/>
    </row>
  </sheetData>
  <mergeCells count="44">
    <mergeCell ref="U2:V2"/>
    <mergeCell ref="V23:V27"/>
    <mergeCell ref="W23:W27"/>
    <mergeCell ref="X23:X27"/>
    <mergeCell ref="P15:R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B19:B27"/>
    <mergeCell ref="C19:D20"/>
    <mergeCell ref="E19:G20"/>
    <mergeCell ref="C21:C27"/>
    <mergeCell ref="D21:D27"/>
    <mergeCell ref="E21:F27"/>
    <mergeCell ref="G21:G27"/>
    <mergeCell ref="H19:H27"/>
    <mergeCell ref="I21:I27"/>
    <mergeCell ref="J21:J27"/>
    <mergeCell ref="K21:K27"/>
    <mergeCell ref="L21:L27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1"/>
  <sheetViews>
    <sheetView showZeros="0" topLeftCell="A13" zoomScaleNormal="100" workbookViewId="0">
      <selection activeCell="U33" sqref="U33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26" t="str">
        <f>NASLOV!B5</f>
        <v>Markus Renz</v>
      </c>
      <c r="B1" s="226"/>
      <c r="C1" s="226"/>
      <c r="D1" s="226"/>
      <c r="E1" s="226"/>
      <c r="F1" s="226"/>
    </row>
    <row r="2" spans="1:18" x14ac:dyDescent="0.2">
      <c r="A2" s="226"/>
      <c r="B2" s="226"/>
      <c r="C2" s="226"/>
      <c r="D2" s="226"/>
      <c r="E2" s="226"/>
      <c r="F2" s="226"/>
    </row>
    <row r="3" spans="1:18" x14ac:dyDescent="0.2">
      <c r="C3" s="224" t="str">
        <f>INDEX(PRIJEVODI!B:D,MATCH("URIC-001",PRIJEVODI!A:A,0),MATCH(NASLOV!$B$2,PRIJEVODI!$B$1:$D$1,0))</f>
        <v>STEUERPFLICHTIGER: NAME / NACHNAME</v>
      </c>
      <c r="D3" s="224"/>
      <c r="E3" s="224"/>
      <c r="F3" s="224"/>
      <c r="Q3" s="229"/>
      <c r="R3" s="229"/>
    </row>
    <row r="4" spans="1:18" x14ac:dyDescent="0.2">
      <c r="C4" s="225" t="str">
        <f>NASLOV!B7</f>
        <v>Am Sonnblick 6, Lichtenau</v>
      </c>
      <c r="D4" s="225"/>
      <c r="E4" s="225"/>
      <c r="F4" s="225"/>
    </row>
    <row r="5" spans="1:18" x14ac:dyDescent="0.2">
      <c r="C5" s="225"/>
      <c r="D5" s="225"/>
      <c r="E5" s="225"/>
      <c r="F5" s="225"/>
    </row>
    <row r="6" spans="1:18" x14ac:dyDescent="0.2">
      <c r="C6" s="224" t="str">
        <f>INDEX(PRIJEVODI!B:D,MATCH("URIC-002",PRIJEVODI!A:A,0),MATCH(NASLOV!$B$2,PRIJEVODI!$B$1:$D$1,0))</f>
        <v>ADRESSE: ORT, STRASSE UND HAUSNUMMER</v>
      </c>
      <c r="D6" s="224"/>
      <c r="E6" s="224"/>
      <c r="F6" s="224"/>
    </row>
    <row r="7" spans="1:18" x14ac:dyDescent="0.2">
      <c r="C7" s="227"/>
      <c r="D7" s="227"/>
      <c r="E7" s="227"/>
      <c r="F7" s="227"/>
    </row>
    <row r="8" spans="1:18" x14ac:dyDescent="0.2">
      <c r="C8" s="227"/>
      <c r="D8" s="227"/>
      <c r="E8" s="227"/>
      <c r="F8" s="227"/>
    </row>
    <row r="9" spans="1:18" x14ac:dyDescent="0.2">
      <c r="C9" s="224" t="str">
        <f>INDEX(PRIJEVODI!B:D,MATCH("URIC-003",PRIJEVODI!A:A,0),MATCH(NASLOV!$B$2,PRIJEVODI!$B$1:$D$1,0))</f>
        <v xml:space="preserve">NUMMERIERUNG GEMÄSS DEM NATIONALEN KLASSIFIZIERUNGSSYSTEM  </v>
      </c>
      <c r="D9" s="224"/>
      <c r="E9" s="224"/>
      <c r="F9" s="224"/>
    </row>
    <row r="10" spans="1:18" x14ac:dyDescent="0.2">
      <c r="C10" s="224"/>
      <c r="D10" s="224"/>
      <c r="E10" s="224"/>
      <c r="F10" s="224"/>
    </row>
    <row r="11" spans="1:18" x14ac:dyDescent="0.2">
      <c r="C11" s="225" t="str">
        <f>NASLOV!B9</f>
        <v>HR6411581446</v>
      </c>
      <c r="D11" s="225"/>
      <c r="E11" s="225"/>
      <c r="F11" s="225"/>
    </row>
    <row r="12" spans="1:18" x14ac:dyDescent="0.2">
      <c r="C12" s="225"/>
      <c r="D12" s="225"/>
      <c r="E12" s="225"/>
      <c r="F12" s="225"/>
    </row>
    <row r="13" spans="1:18" x14ac:dyDescent="0.2">
      <c r="C13" s="224" t="str">
        <f>INDEX(PRIJEVODI!B:D,MATCH("URIC-004",PRIJEVODI!A:A,0),MATCH(NASLOV!$B$2,PRIJEVODI!$B$1:$D$1,0))</f>
        <v>STEUERNUMMER (UID)</v>
      </c>
      <c r="D13" s="224"/>
      <c r="E13" s="224"/>
      <c r="F13" s="224"/>
    </row>
    <row r="15" spans="1:18" x14ac:dyDescent="0.2">
      <c r="G15" s="228" t="str">
        <f>INDEX(PRIJEVODI!B:D,MATCH("URIC-005",PRIJEVODI!A:A,0),MATCH(NASLOV!$B$2,PRIJEVODI!$B$1:$D$1,0))</f>
        <v>EINGANGSRECHNUNGBUCH - IG ERWERB</v>
      </c>
      <c r="H15" s="229"/>
      <c r="I15" s="229"/>
      <c r="J15" s="229"/>
      <c r="K15" s="229"/>
      <c r="L15" s="59"/>
    </row>
    <row r="16" spans="1:18" x14ac:dyDescent="0.2">
      <c r="G16" s="229"/>
      <c r="H16" s="229"/>
      <c r="I16" s="229"/>
      <c r="J16" s="229"/>
      <c r="K16" s="229"/>
      <c r="L16" s="59"/>
      <c r="O16" s="229" t="str">
        <f>INDEX(PRIJEVODI!B:D,MATCH("URIC-006",PRIJEVODI!A:A,0),MATCH(NASLOV!$B$2,PRIJEVODI!$B$1:$D$1,0))</f>
        <v>BETRAG IN KUNA UND LIPA</v>
      </c>
      <c r="P16" s="229"/>
      <c r="Q16" s="229"/>
      <c r="R16" s="229"/>
    </row>
    <row r="19" spans="1:24" ht="12.75" customHeight="1" x14ac:dyDescent="0.2">
      <c r="B19" s="198" t="str">
        <f>INDEX(PRIJEVODI!B:D,MATCH("URIC-007",PRIJEVODI!A:A,0),MATCH(NASLOV!$B$2,PRIJEVODI!$B$1:$D$1,0))</f>
        <v xml:space="preserve">ORDNUNGSNUMMER </v>
      </c>
      <c r="C19" s="201" t="str">
        <f>INDEX(PRIJEVODI!B:D,MATCH("URIC-008",PRIJEVODI!A:A,0),MATCH(NASLOV!$B$2,PRIJEVODI!$B$1:$D$1,0))</f>
        <v>RECHNUNG</v>
      </c>
      <c r="D19" s="202"/>
      <c r="E19" s="247" t="str">
        <f>INDEX(PRIJEVODI!B:D,MATCH("URIC-011",PRIJEVODI!A:A,0),MATCH(NASLOV!$B$2,PRIJEVODI!$B$1:$D$1,0))</f>
        <v>LIEFERANT (ANBIETER VON WAREN UND DIENSTLEISTUNGEN)</v>
      </c>
      <c r="F19" s="248"/>
      <c r="G19" s="248"/>
      <c r="H19" s="248"/>
      <c r="I19" s="248"/>
      <c r="J19" s="248"/>
      <c r="K19" s="248"/>
      <c r="L19" s="248"/>
      <c r="M19" s="245"/>
      <c r="N19" s="201" t="str">
        <f>INDEX(PRIJEVODI!B:D,MATCH("URIC-020",PRIJEVODI!A:A,0),MATCH(NASLOV!$B$2,PRIJEVODI!$B$1:$D$1,0))</f>
        <v>STEUER</v>
      </c>
      <c r="O19" s="232"/>
      <c r="P19" s="232"/>
      <c r="Q19" s="232"/>
      <c r="R19" s="232"/>
      <c r="S19" s="238"/>
      <c r="T19" s="243" t="s">
        <v>603</v>
      </c>
      <c r="U19" s="244" t="s">
        <v>604</v>
      </c>
    </row>
    <row r="20" spans="1:24" x14ac:dyDescent="0.2">
      <c r="B20" s="199"/>
      <c r="C20" s="203"/>
      <c r="D20" s="204"/>
      <c r="E20" s="241"/>
      <c r="F20" s="249"/>
      <c r="G20" s="249"/>
      <c r="H20" s="249"/>
      <c r="I20" s="249"/>
      <c r="J20" s="249"/>
      <c r="K20" s="249"/>
      <c r="L20" s="249"/>
      <c r="M20" s="250"/>
      <c r="N20" s="234"/>
      <c r="O20" s="235"/>
      <c r="P20" s="235"/>
      <c r="Q20" s="235"/>
      <c r="R20" s="235"/>
      <c r="S20" s="236"/>
      <c r="T20" s="243"/>
      <c r="U20" s="244"/>
    </row>
    <row r="21" spans="1:24" ht="12.75" customHeight="1" x14ac:dyDescent="0.2">
      <c r="B21" s="199"/>
      <c r="C21" s="211" t="str">
        <f>INDEX(PRIJEVODI!B:D,MATCH("URIC-009",PRIJEVODI!A:A,0),MATCH(NASLOV!$B$2,PRIJEVODI!$B$1:$D$1,0))</f>
        <v xml:space="preserve">NUMMER </v>
      </c>
      <c r="D21" s="211" t="str">
        <f>INDEX(PRIJEVODI!B:D,MATCH("URIC-010",PRIJEVODI!A:A,0),MATCH(NASLOV!$B$2,PRIJEVODI!$B$1:$D$1,0))</f>
        <v>DATUM</v>
      </c>
      <c r="E21" s="214" t="str">
        <f>INDEX(PRIJEVODI!B:D,MATCH("URIC-012",PRIJEVODI!A:A,0),MATCH(NASLOV!$B$2,PRIJEVODI!$B$1:$D$1,0))</f>
        <v>TITEL - NAME UND NACHNAME, GESCHÄFTSSITZ / SITZORT</v>
      </c>
      <c r="F21" s="215"/>
      <c r="G21" s="220" t="str">
        <f>INDEX(PRIJEVODI!B:D,MATCH("URIC-013",PRIJEVODI!A:A,0),MATCH(NASLOV!$B$2,PRIJEVODI!$B$1:$D$1,0))</f>
        <v>STEUERNUMMER (UID)</v>
      </c>
      <c r="H21" s="239" t="str">
        <f>INDEX(PRIJEVODI!B:D,MATCH("URIC-014",PRIJEVODI!A:A,0),MATCH(NASLOV!$B$2,PRIJEVODI!$B$1:$D$1,0))</f>
        <v>LIEFERWERT</v>
      </c>
      <c r="I21" s="248"/>
      <c r="J21" s="245"/>
      <c r="K21" s="220" t="str">
        <f>INDEX(PRIJEVODI!B:D,MATCH("URIC-018",PRIJEVODI!A:A,0),MATCH(NASLOV!$B$2,PRIJEVODI!$B$1:$D$1,0))</f>
        <v>GESAMTBETRAG DER RECHNUNG INKLUSIVE MwST.</v>
      </c>
      <c r="L21" s="56"/>
      <c r="M21" s="211" t="str">
        <f>INDEX(PRIJEVODI!B:D,MATCH("URIC-030",PRIJEVODI!A:A,0),MATCH(NASLOV!$B$2,PRIJEVODI!$B$1:$D$1,0))</f>
        <v>TOTAL</v>
      </c>
      <c r="N21" s="237">
        <v>0.05</v>
      </c>
      <c r="O21" s="238"/>
      <c r="P21" s="237">
        <v>0.13</v>
      </c>
      <c r="Q21" s="238"/>
      <c r="R21" s="237">
        <v>0.25</v>
      </c>
      <c r="S21" s="238"/>
      <c r="T21" s="243"/>
      <c r="U21" s="244"/>
    </row>
    <row r="22" spans="1:24" x14ac:dyDescent="0.2">
      <c r="B22" s="199"/>
      <c r="C22" s="212"/>
      <c r="D22" s="212"/>
      <c r="E22" s="216"/>
      <c r="F22" s="217"/>
      <c r="G22" s="221"/>
      <c r="H22" s="240"/>
      <c r="I22" s="251"/>
      <c r="J22" s="252"/>
      <c r="K22" s="221"/>
      <c r="L22" s="57"/>
      <c r="M22" s="212"/>
      <c r="N22" s="234"/>
      <c r="O22" s="236"/>
      <c r="P22" s="234"/>
      <c r="Q22" s="236"/>
      <c r="R22" s="234"/>
      <c r="S22" s="236"/>
      <c r="T22" s="243"/>
      <c r="U22" s="244"/>
    </row>
    <row r="23" spans="1:24" x14ac:dyDescent="0.2">
      <c r="B23" s="199"/>
      <c r="C23" s="212"/>
      <c r="D23" s="212"/>
      <c r="E23" s="216"/>
      <c r="F23" s="217"/>
      <c r="G23" s="221"/>
      <c r="H23" s="240"/>
      <c r="I23" s="251"/>
      <c r="J23" s="252"/>
      <c r="K23" s="221"/>
      <c r="L23" s="57"/>
      <c r="M23" s="212"/>
      <c r="N23" s="220" t="str">
        <f>INDEX(PRIJEVODI!B:D,MATCH("URIC-022",PRIJEVODI!A:A,0),MATCH(NASLOV!$B$2,PRIJEVODI!$B$1:$D$1,0))</f>
        <v>ABZUGSFÄHIG</v>
      </c>
      <c r="O23" s="220" t="str">
        <f>INDEX(PRIJEVODI!B:D,MATCH("URIC-023",PRIJEVODI!A:A,0),MATCH(NASLOV!$B$2,PRIJEVODI!$B$1:$D$1,0))</f>
        <v>NICHT ABZUGSFÄHIG</v>
      </c>
      <c r="P23" s="220" t="str">
        <f>INDEX(PRIJEVODI!B:D,MATCH("URIC-025",PRIJEVODI!A:A,0),MATCH(NASLOV!$B$2,PRIJEVODI!$B$1:$D$1,0))</f>
        <v>ABZUGSFÄHIG</v>
      </c>
      <c r="Q23" s="220" t="str">
        <f>INDEX(PRIJEVODI!B:D,MATCH("URIC-026",PRIJEVODI!A:A,0),MATCH(NASLOV!$B$2,PRIJEVODI!$B$1:$D$1,0))</f>
        <v>NICHT ABZUGSFÄHIG</v>
      </c>
      <c r="R23" s="220" t="str">
        <f>INDEX(PRIJEVODI!B:D,MATCH("URIC-028",PRIJEVODI!A:A,0),MATCH(NASLOV!$B$2,PRIJEVODI!$B$1:$D$1,0))</f>
        <v>ABZUGSFÄHIG</v>
      </c>
      <c r="S23" s="220" t="str">
        <f>INDEX(PRIJEVODI!B:D,MATCH("URIC-029",PRIJEVODI!A:A,0),MATCH(NASLOV!$B$2,PRIJEVODI!$B$1:$D$1,0))</f>
        <v>NICHT ABZUGSFÄHIG</v>
      </c>
      <c r="T23" s="243"/>
      <c r="U23" s="244"/>
    </row>
    <row r="24" spans="1:24" x14ac:dyDescent="0.2">
      <c r="B24" s="199"/>
      <c r="C24" s="212"/>
      <c r="D24" s="212"/>
      <c r="E24" s="216"/>
      <c r="F24" s="217"/>
      <c r="G24" s="221"/>
      <c r="H24" s="240"/>
      <c r="I24" s="251"/>
      <c r="J24" s="252"/>
      <c r="K24" s="221"/>
      <c r="L24" s="61" t="str">
        <f>INDEX(PRIJEVODI!B:D,MATCH("URIC-019",PRIJEVODI!A:A,0),MATCH(NASLOV!$B$2,PRIJEVODI!$B$1:$D$1,0))</f>
        <v>STEUERBEFREIUNGEN / ABZUGSFÄHIG</v>
      </c>
      <c r="M24" s="212"/>
      <c r="N24" s="221"/>
      <c r="O24" s="221"/>
      <c r="P24" s="221"/>
      <c r="Q24" s="221"/>
      <c r="R24" s="221"/>
      <c r="S24" s="221"/>
      <c r="T24" s="243"/>
      <c r="U24" s="244"/>
    </row>
    <row r="25" spans="1:24" x14ac:dyDescent="0.2">
      <c r="B25" s="199"/>
      <c r="C25" s="212"/>
      <c r="D25" s="212"/>
      <c r="E25" s="216"/>
      <c r="F25" s="217"/>
      <c r="G25" s="221"/>
      <c r="H25" s="241"/>
      <c r="I25" s="249"/>
      <c r="J25" s="250"/>
      <c r="K25" s="221"/>
      <c r="L25" s="57"/>
      <c r="M25" s="212"/>
      <c r="N25" s="221"/>
      <c r="O25" s="221"/>
      <c r="P25" s="221"/>
      <c r="Q25" s="221"/>
      <c r="R25" s="221"/>
      <c r="S25" s="221"/>
      <c r="T25" s="243"/>
      <c r="U25" s="244"/>
    </row>
    <row r="26" spans="1:24" x14ac:dyDescent="0.2">
      <c r="B26" s="199"/>
      <c r="C26" s="212"/>
      <c r="D26" s="212"/>
      <c r="E26" s="216"/>
      <c r="F26" s="217"/>
      <c r="G26" s="221"/>
      <c r="H26" s="246">
        <v>0.05</v>
      </c>
      <c r="I26" s="246">
        <v>0.1</v>
      </c>
      <c r="J26" s="246">
        <v>0.25</v>
      </c>
      <c r="K26" s="221"/>
      <c r="L26" s="57"/>
      <c r="M26" s="212"/>
      <c r="N26" s="221"/>
      <c r="O26" s="221"/>
      <c r="P26" s="221"/>
      <c r="Q26" s="221"/>
      <c r="R26" s="221"/>
      <c r="S26" s="221"/>
      <c r="T26" s="243"/>
      <c r="U26" s="244"/>
    </row>
    <row r="27" spans="1:24" x14ac:dyDescent="0.2">
      <c r="B27" s="200"/>
      <c r="C27" s="213"/>
      <c r="D27" s="213"/>
      <c r="E27" s="218"/>
      <c r="F27" s="219"/>
      <c r="G27" s="222"/>
      <c r="H27" s="213"/>
      <c r="I27" s="213"/>
      <c r="J27" s="213"/>
      <c r="K27" s="222"/>
      <c r="L27" s="58"/>
      <c r="M27" s="213"/>
      <c r="N27" s="222"/>
      <c r="O27" s="222"/>
      <c r="P27" s="222"/>
      <c r="Q27" s="222"/>
      <c r="R27" s="222"/>
      <c r="S27" s="222"/>
      <c r="T27" s="243"/>
      <c r="U27" s="244"/>
    </row>
    <row r="28" spans="1:24" x14ac:dyDescent="0.2">
      <c r="A28" t="s">
        <v>606</v>
      </c>
      <c r="B28" s="60">
        <v>1</v>
      </c>
      <c r="C28" s="60">
        <v>2</v>
      </c>
      <c r="D28" s="60">
        <v>3</v>
      </c>
      <c r="E28" s="239">
        <v>4</v>
      </c>
      <c r="F28" s="24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43"/>
      <c r="U28" s="244"/>
      <c r="V28" s="133" t="s">
        <v>581</v>
      </c>
    </row>
    <row r="29" spans="1:24" x14ac:dyDescent="0.2">
      <c r="A29" s="133"/>
      <c r="B29" s="3"/>
      <c r="C29" s="156"/>
      <c r="D29" s="147"/>
      <c r="E29" s="139"/>
      <c r="F29" s="2"/>
      <c r="G29" s="95"/>
      <c r="H29" s="2"/>
      <c r="I29" s="2"/>
      <c r="J29" s="140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8" t="s">
        <v>602</v>
      </c>
      <c r="U29" s="141">
        <v>1</v>
      </c>
    </row>
    <row r="30" spans="1:24" x14ac:dyDescent="0.2">
      <c r="A30" s="160">
        <v>60</v>
      </c>
      <c r="B30" s="5">
        <v>14</v>
      </c>
      <c r="C30" s="102">
        <v>956959</v>
      </c>
      <c r="D30" s="44">
        <v>45139</v>
      </c>
      <c r="E30" s="139" t="s">
        <v>631</v>
      </c>
      <c r="F30" s="2" t="s">
        <v>632</v>
      </c>
      <c r="G30" s="95" t="s">
        <v>633</v>
      </c>
      <c r="H30" s="2"/>
      <c r="I30" s="2"/>
      <c r="J30" s="140">
        <f>+V30*U30</f>
        <v>82.8</v>
      </c>
      <c r="K30" s="33">
        <f>J30+M30</f>
        <v>103.5</v>
      </c>
      <c r="L30" s="38"/>
      <c r="M30" s="150">
        <f t="shared" ref="M30:M47" si="0">SUM(N30:S30)</f>
        <v>20.7</v>
      </c>
      <c r="N30" s="2"/>
      <c r="O30" s="2"/>
      <c r="P30" s="2"/>
      <c r="Q30" s="2"/>
      <c r="R30" s="33">
        <f t="shared" ref="R30:R47" si="1">J30*0.25</f>
        <v>20.7</v>
      </c>
      <c r="S30" s="2"/>
      <c r="T30" s="88" t="s">
        <v>602</v>
      </c>
      <c r="U30" s="141">
        <v>1</v>
      </c>
      <c r="V30">
        <v>82.8</v>
      </c>
      <c r="X30" t="s">
        <v>612</v>
      </c>
    </row>
    <row r="31" spans="1:24" x14ac:dyDescent="0.2">
      <c r="A31" s="160">
        <v>61</v>
      </c>
      <c r="B31" s="5">
        <v>15</v>
      </c>
      <c r="C31" s="102">
        <v>8560</v>
      </c>
      <c r="D31" s="44">
        <v>45142</v>
      </c>
      <c r="E31" s="139" t="s">
        <v>609</v>
      </c>
      <c r="F31" s="2" t="s">
        <v>610</v>
      </c>
      <c r="G31" s="95" t="s">
        <v>611</v>
      </c>
      <c r="H31" s="2"/>
      <c r="I31" s="2"/>
      <c r="J31" s="140">
        <f t="shared" ref="J31:J47" si="2">+V31*U31</f>
        <v>39.99</v>
      </c>
      <c r="K31" s="33">
        <f t="shared" ref="K31:K47" si="3">J31+M31</f>
        <v>49.987500000000004</v>
      </c>
      <c r="L31" s="38"/>
      <c r="M31" s="150">
        <f t="shared" si="0"/>
        <v>9.9975000000000005</v>
      </c>
      <c r="N31" s="2"/>
      <c r="O31" s="2"/>
      <c r="P31" s="2"/>
      <c r="Q31" s="2"/>
      <c r="R31" s="33">
        <f t="shared" si="1"/>
        <v>9.9975000000000005</v>
      </c>
      <c r="S31" s="2"/>
      <c r="T31" s="88" t="s">
        <v>602</v>
      </c>
      <c r="U31" s="141">
        <v>1</v>
      </c>
      <c r="V31">
        <v>39.99</v>
      </c>
    </row>
    <row r="32" spans="1:24" x14ac:dyDescent="0.2">
      <c r="A32" s="160">
        <v>72</v>
      </c>
      <c r="B32" s="5">
        <v>16</v>
      </c>
      <c r="C32" s="156" t="s">
        <v>684</v>
      </c>
      <c r="D32" s="44">
        <v>45141</v>
      </c>
      <c r="E32" s="139" t="s">
        <v>620</v>
      </c>
      <c r="F32" s="2" t="s">
        <v>621</v>
      </c>
      <c r="G32" s="95" t="s">
        <v>596</v>
      </c>
      <c r="H32" s="2"/>
      <c r="I32" s="2"/>
      <c r="J32" s="140">
        <f t="shared" si="2"/>
        <v>697.46</v>
      </c>
      <c r="K32" s="33">
        <f t="shared" si="3"/>
        <v>871.82500000000005</v>
      </c>
      <c r="L32" s="38"/>
      <c r="M32" s="150">
        <f t="shared" si="0"/>
        <v>174.36500000000001</v>
      </c>
      <c r="N32" s="2"/>
      <c r="O32" s="2"/>
      <c r="P32" s="2"/>
      <c r="Q32" s="2"/>
      <c r="R32" s="33">
        <f t="shared" si="1"/>
        <v>174.36500000000001</v>
      </c>
      <c r="S32" s="2"/>
      <c r="T32" s="88" t="s">
        <v>602</v>
      </c>
      <c r="U32" s="141">
        <v>1</v>
      </c>
      <c r="V32">
        <v>697.46</v>
      </c>
    </row>
    <row r="33" spans="1:21" x14ac:dyDescent="0.2">
      <c r="A33" s="160"/>
      <c r="B33" s="5"/>
      <c r="C33" s="102"/>
      <c r="D33" s="44"/>
      <c r="E33" s="139"/>
      <c r="F33" s="2"/>
      <c r="G33" s="95"/>
      <c r="H33" s="2"/>
      <c r="I33" s="2"/>
      <c r="J33" s="140">
        <f t="shared" si="2"/>
        <v>0</v>
      </c>
      <c r="K33" s="33">
        <f t="shared" si="3"/>
        <v>0</v>
      </c>
      <c r="L33" s="38"/>
      <c r="M33" s="150">
        <f t="shared" si="0"/>
        <v>0</v>
      </c>
      <c r="N33" s="2"/>
      <c r="O33" s="2"/>
      <c r="P33" s="2"/>
      <c r="Q33" s="2"/>
      <c r="R33" s="33">
        <f t="shared" si="1"/>
        <v>0</v>
      </c>
      <c r="S33" s="2"/>
      <c r="T33" s="88" t="s">
        <v>602</v>
      </c>
      <c r="U33" s="141">
        <v>1</v>
      </c>
    </row>
    <row r="34" spans="1:21" x14ac:dyDescent="0.2">
      <c r="A34" s="160"/>
      <c r="B34" s="5"/>
      <c r="C34" s="102"/>
      <c r="D34" s="44"/>
      <c r="E34" s="139"/>
      <c r="F34" s="2"/>
      <c r="G34" s="95"/>
      <c r="H34" s="2"/>
      <c r="I34" s="2"/>
      <c r="J34" s="140">
        <f t="shared" si="2"/>
        <v>0</v>
      </c>
      <c r="K34" s="33">
        <f t="shared" si="3"/>
        <v>0</v>
      </c>
      <c r="L34" s="38"/>
      <c r="M34" s="150">
        <f t="shared" si="0"/>
        <v>0</v>
      </c>
      <c r="N34" s="2"/>
      <c r="O34" s="2"/>
      <c r="P34" s="2"/>
      <c r="Q34" s="2"/>
      <c r="R34" s="33">
        <f t="shared" si="1"/>
        <v>0</v>
      </c>
      <c r="S34" s="2"/>
      <c r="T34" s="88" t="s">
        <v>602</v>
      </c>
      <c r="U34" s="141">
        <v>1</v>
      </c>
    </row>
    <row r="35" spans="1:21" x14ac:dyDescent="0.2">
      <c r="A35" s="160"/>
      <c r="B35" s="5"/>
      <c r="C35" s="102"/>
      <c r="D35" s="44"/>
      <c r="E35" s="139"/>
      <c r="F35" s="2"/>
      <c r="G35" s="95"/>
      <c r="H35" s="2"/>
      <c r="I35" s="2"/>
      <c r="J35" s="140">
        <f t="shared" si="2"/>
        <v>0</v>
      </c>
      <c r="K35" s="33">
        <f t="shared" si="3"/>
        <v>0</v>
      </c>
      <c r="L35" s="38"/>
      <c r="M35" s="150">
        <f t="shared" si="0"/>
        <v>0</v>
      </c>
      <c r="N35" s="2"/>
      <c r="O35" s="2"/>
      <c r="P35" s="2"/>
      <c r="Q35" s="2"/>
      <c r="R35" s="33">
        <f t="shared" si="1"/>
        <v>0</v>
      </c>
      <c r="S35" s="2"/>
      <c r="T35" s="88" t="s">
        <v>602</v>
      </c>
      <c r="U35" s="141">
        <v>1</v>
      </c>
    </row>
    <row r="36" spans="1:21" x14ac:dyDescent="0.2">
      <c r="A36" s="161"/>
      <c r="B36" s="5"/>
      <c r="C36" s="102"/>
      <c r="D36" s="44"/>
      <c r="E36" s="139"/>
      <c r="F36" s="2"/>
      <c r="G36" s="95"/>
      <c r="H36" s="2"/>
      <c r="I36" s="2"/>
      <c r="J36" s="140">
        <f t="shared" si="2"/>
        <v>0</v>
      </c>
      <c r="K36" s="33">
        <f t="shared" si="3"/>
        <v>0</v>
      </c>
      <c r="L36" s="38"/>
      <c r="M36" s="150">
        <f t="shared" si="0"/>
        <v>0</v>
      </c>
      <c r="N36" s="2"/>
      <c r="O36" s="2"/>
      <c r="P36" s="2"/>
      <c r="Q36" s="2"/>
      <c r="R36" s="33">
        <f t="shared" si="1"/>
        <v>0</v>
      </c>
      <c r="S36" s="2"/>
      <c r="T36" s="88"/>
      <c r="U36" s="141">
        <v>1</v>
      </c>
    </row>
    <row r="37" spans="1:21" x14ac:dyDescent="0.2">
      <c r="A37" s="160"/>
      <c r="B37" s="5"/>
      <c r="C37" s="102"/>
      <c r="D37" s="44"/>
      <c r="E37" s="139"/>
      <c r="F37" s="2"/>
      <c r="G37" s="95"/>
      <c r="H37" s="2"/>
      <c r="I37" s="2"/>
      <c r="J37" s="140">
        <f t="shared" si="2"/>
        <v>0</v>
      </c>
      <c r="K37" s="33">
        <f t="shared" si="3"/>
        <v>0</v>
      </c>
      <c r="L37" s="38"/>
      <c r="M37" s="150">
        <f t="shared" si="0"/>
        <v>0</v>
      </c>
      <c r="N37" s="2"/>
      <c r="O37" s="2"/>
      <c r="P37" s="2"/>
      <c r="Q37" s="2"/>
      <c r="R37" s="33">
        <f t="shared" si="1"/>
        <v>0</v>
      </c>
      <c r="S37" s="2"/>
      <c r="T37" s="88" t="s">
        <v>602</v>
      </c>
      <c r="U37" s="141">
        <v>1</v>
      </c>
    </row>
    <row r="38" spans="1:21" x14ac:dyDescent="0.2">
      <c r="A38" s="160"/>
      <c r="B38" s="5"/>
      <c r="C38" s="102"/>
      <c r="D38" s="44"/>
      <c r="E38" s="139"/>
      <c r="F38" s="2"/>
      <c r="G38" s="95"/>
      <c r="H38" s="2"/>
      <c r="I38" s="2"/>
      <c r="J38" s="140">
        <f t="shared" si="2"/>
        <v>0</v>
      </c>
      <c r="K38" s="33">
        <f t="shared" si="3"/>
        <v>0</v>
      </c>
      <c r="L38" s="38"/>
      <c r="M38" s="150">
        <f t="shared" si="0"/>
        <v>0</v>
      </c>
      <c r="N38" s="2"/>
      <c r="O38" s="2"/>
      <c r="P38" s="2"/>
      <c r="Q38" s="2"/>
      <c r="R38" s="33">
        <f t="shared" si="1"/>
        <v>0</v>
      </c>
      <c r="S38" s="2"/>
      <c r="T38" s="88" t="s">
        <v>602</v>
      </c>
      <c r="U38" s="141">
        <v>1</v>
      </c>
    </row>
    <row r="39" spans="1:21" x14ac:dyDescent="0.2">
      <c r="A39" s="160"/>
      <c r="B39" s="5"/>
      <c r="C39" s="102"/>
      <c r="D39" s="44"/>
      <c r="E39" s="139"/>
      <c r="F39" s="2"/>
      <c r="G39" s="95"/>
      <c r="H39" s="2"/>
      <c r="I39" s="2"/>
      <c r="J39" s="140">
        <f t="shared" si="2"/>
        <v>0</v>
      </c>
      <c r="K39" s="33">
        <f t="shared" si="3"/>
        <v>0</v>
      </c>
      <c r="L39" s="38"/>
      <c r="M39" s="150">
        <f t="shared" si="0"/>
        <v>0</v>
      </c>
      <c r="N39" s="2"/>
      <c r="O39" s="2"/>
      <c r="P39" s="2"/>
      <c r="Q39" s="2"/>
      <c r="R39" s="33">
        <f t="shared" si="1"/>
        <v>0</v>
      </c>
      <c r="S39" s="2"/>
      <c r="T39" s="88" t="s">
        <v>602</v>
      </c>
      <c r="U39" s="141">
        <v>1</v>
      </c>
    </row>
    <row r="40" spans="1:21" x14ac:dyDescent="0.2">
      <c r="A40" s="160"/>
      <c r="B40" s="5"/>
      <c r="C40" s="102"/>
      <c r="D40" s="44"/>
      <c r="E40" s="139"/>
      <c r="F40" s="2"/>
      <c r="G40" s="95"/>
      <c r="H40" s="2"/>
      <c r="I40" s="2"/>
      <c r="J40" s="140">
        <f t="shared" si="2"/>
        <v>0</v>
      </c>
      <c r="K40" s="33">
        <f t="shared" si="3"/>
        <v>0</v>
      </c>
      <c r="L40" s="38"/>
      <c r="M40" s="150">
        <f t="shared" si="0"/>
        <v>0</v>
      </c>
      <c r="N40" s="2"/>
      <c r="O40" s="2"/>
      <c r="P40" s="2"/>
      <c r="Q40" s="2"/>
      <c r="R40" s="33">
        <f t="shared" si="1"/>
        <v>0</v>
      </c>
      <c r="S40" s="2"/>
      <c r="T40" s="88" t="s">
        <v>602</v>
      </c>
      <c r="U40" s="141">
        <v>1</v>
      </c>
    </row>
    <row r="41" spans="1:21" x14ac:dyDescent="0.2">
      <c r="A41" s="160"/>
      <c r="B41" s="5"/>
      <c r="C41" s="102"/>
      <c r="D41" s="44"/>
      <c r="E41" s="139"/>
      <c r="F41" s="2"/>
      <c r="G41" s="95"/>
      <c r="H41" s="2"/>
      <c r="I41" s="2"/>
      <c r="J41" s="140">
        <f t="shared" si="2"/>
        <v>0</v>
      </c>
      <c r="K41" s="33">
        <f t="shared" si="3"/>
        <v>0</v>
      </c>
      <c r="L41" s="38"/>
      <c r="M41" s="150">
        <f t="shared" si="0"/>
        <v>0</v>
      </c>
      <c r="N41" s="2"/>
      <c r="O41" s="2"/>
      <c r="P41" s="2"/>
      <c r="Q41" s="2"/>
      <c r="R41" s="33">
        <f t="shared" si="1"/>
        <v>0</v>
      </c>
      <c r="S41" s="2"/>
      <c r="T41" s="88" t="s">
        <v>602</v>
      </c>
      <c r="U41" s="141">
        <v>1</v>
      </c>
    </row>
    <row r="42" spans="1:21" x14ac:dyDescent="0.2">
      <c r="A42" s="160"/>
      <c r="B42" s="5"/>
      <c r="C42" s="102"/>
      <c r="D42" s="44"/>
      <c r="E42" s="139"/>
      <c r="F42" s="2"/>
      <c r="G42" s="95"/>
      <c r="H42" s="2"/>
      <c r="I42" s="2"/>
      <c r="J42" s="140">
        <f t="shared" si="2"/>
        <v>0</v>
      </c>
      <c r="K42" s="33">
        <f t="shared" si="3"/>
        <v>0</v>
      </c>
      <c r="L42" s="38"/>
      <c r="M42" s="150">
        <f t="shared" si="0"/>
        <v>0</v>
      </c>
      <c r="N42" s="2"/>
      <c r="O42" s="2"/>
      <c r="P42" s="2"/>
      <c r="Q42" s="2"/>
      <c r="R42" s="33">
        <f t="shared" si="1"/>
        <v>0</v>
      </c>
      <c r="S42" s="2"/>
      <c r="T42" s="88" t="s">
        <v>602</v>
      </c>
      <c r="U42" s="141">
        <v>1</v>
      </c>
    </row>
    <row r="43" spans="1:21" x14ac:dyDescent="0.2">
      <c r="A43" s="160"/>
      <c r="B43" s="5"/>
      <c r="C43" s="102"/>
      <c r="D43" s="44"/>
      <c r="E43" s="139"/>
      <c r="F43" s="2"/>
      <c r="G43" s="95"/>
      <c r="H43" s="2"/>
      <c r="I43" s="2"/>
      <c r="J43" s="140">
        <f t="shared" si="2"/>
        <v>0</v>
      </c>
      <c r="K43" s="33">
        <f t="shared" si="3"/>
        <v>0</v>
      </c>
      <c r="L43" s="38"/>
      <c r="M43" s="150">
        <f t="shared" si="0"/>
        <v>0</v>
      </c>
      <c r="N43" s="2"/>
      <c r="O43" s="2"/>
      <c r="P43" s="2"/>
      <c r="Q43" s="2"/>
      <c r="R43" s="33">
        <f t="shared" si="1"/>
        <v>0</v>
      </c>
      <c r="S43" s="2"/>
      <c r="T43" s="88" t="s">
        <v>602</v>
      </c>
      <c r="U43" s="141">
        <v>1</v>
      </c>
    </row>
    <row r="44" spans="1:21" x14ac:dyDescent="0.2">
      <c r="A44" s="160"/>
      <c r="B44" s="5"/>
      <c r="C44" s="102"/>
      <c r="D44" s="44"/>
      <c r="E44" s="139"/>
      <c r="F44" s="2"/>
      <c r="G44" s="95"/>
      <c r="H44" s="2"/>
      <c r="I44" s="2"/>
      <c r="J44" s="140">
        <f t="shared" si="2"/>
        <v>0</v>
      </c>
      <c r="K44" s="33">
        <f t="shared" si="3"/>
        <v>0</v>
      </c>
      <c r="L44" s="38"/>
      <c r="M44" s="150">
        <f t="shared" si="0"/>
        <v>0</v>
      </c>
      <c r="N44" s="2"/>
      <c r="O44" s="2"/>
      <c r="P44" s="2"/>
      <c r="Q44" s="2"/>
      <c r="R44" s="33">
        <f t="shared" si="1"/>
        <v>0</v>
      </c>
      <c r="S44" s="2"/>
      <c r="T44" s="88" t="s">
        <v>602</v>
      </c>
      <c r="U44" s="141">
        <v>1</v>
      </c>
    </row>
    <row r="45" spans="1:21" x14ac:dyDescent="0.2">
      <c r="A45" s="133"/>
      <c r="B45" s="5"/>
      <c r="C45" s="5"/>
      <c r="D45" s="5"/>
      <c r="E45" s="2"/>
      <c r="F45" s="2"/>
      <c r="G45" s="5"/>
      <c r="H45" s="2"/>
      <c r="I45" s="2"/>
      <c r="J45" s="140">
        <f t="shared" si="2"/>
        <v>0</v>
      </c>
      <c r="K45" s="33">
        <f t="shared" si="3"/>
        <v>0</v>
      </c>
      <c r="L45" s="38"/>
      <c r="M45" s="150">
        <f t="shared" si="0"/>
        <v>0</v>
      </c>
      <c r="N45" s="2"/>
      <c r="O45" s="2"/>
      <c r="P45" s="2"/>
      <c r="Q45" s="2"/>
      <c r="R45" s="33">
        <f t="shared" si="1"/>
        <v>0</v>
      </c>
      <c r="S45" s="2"/>
      <c r="T45" s="88" t="s">
        <v>602</v>
      </c>
      <c r="U45" s="141">
        <v>1</v>
      </c>
    </row>
    <row r="46" spans="1:21" x14ac:dyDescent="0.2">
      <c r="A46" s="133"/>
      <c r="B46" s="5"/>
      <c r="C46" s="5"/>
      <c r="D46" s="5"/>
      <c r="E46" s="2"/>
      <c r="F46" s="2"/>
      <c r="G46" s="5"/>
      <c r="H46" s="2"/>
      <c r="I46" s="2"/>
      <c r="J46" s="140">
        <f t="shared" si="2"/>
        <v>0</v>
      </c>
      <c r="K46" s="33">
        <f t="shared" si="3"/>
        <v>0</v>
      </c>
      <c r="L46" s="38"/>
      <c r="M46" s="150">
        <f t="shared" si="0"/>
        <v>0</v>
      </c>
      <c r="N46" s="2"/>
      <c r="O46" s="2"/>
      <c r="P46" s="2"/>
      <c r="Q46" s="2"/>
      <c r="R46" s="33">
        <f t="shared" si="1"/>
        <v>0</v>
      </c>
      <c r="S46" s="2"/>
      <c r="T46" s="88" t="s">
        <v>602</v>
      </c>
      <c r="U46" s="141">
        <v>1</v>
      </c>
    </row>
    <row r="47" spans="1:21" x14ac:dyDescent="0.2">
      <c r="A47" s="133"/>
      <c r="B47" s="5"/>
      <c r="C47" s="5"/>
      <c r="D47" s="44"/>
      <c r="E47" s="2"/>
      <c r="F47" s="2"/>
      <c r="G47" s="5"/>
      <c r="H47" s="2"/>
      <c r="I47" s="2"/>
      <c r="J47" s="140">
        <f t="shared" si="2"/>
        <v>0</v>
      </c>
      <c r="K47" s="33">
        <f t="shared" si="3"/>
        <v>0</v>
      </c>
      <c r="L47" s="38"/>
      <c r="M47" s="150">
        <f t="shared" si="0"/>
        <v>0</v>
      </c>
      <c r="N47" s="2"/>
      <c r="O47" s="2"/>
      <c r="P47" s="2"/>
      <c r="Q47" s="2"/>
      <c r="R47" s="33">
        <f t="shared" si="1"/>
        <v>0</v>
      </c>
      <c r="S47" s="2"/>
      <c r="T47" s="88" t="s">
        <v>602</v>
      </c>
      <c r="U47" s="141">
        <v>1</v>
      </c>
    </row>
    <row r="48" spans="1:21" x14ac:dyDescent="0.2">
      <c r="B48" s="88"/>
      <c r="J48" s="39">
        <f>SUM(J29:J46)</f>
        <v>820.25</v>
      </c>
      <c r="K48" s="39">
        <f>SUM(K29:K46)</f>
        <v>1025.3125</v>
      </c>
      <c r="L48" s="39"/>
      <c r="R48" s="39">
        <f>SUM(R29:R47)</f>
        <v>205.0625</v>
      </c>
      <c r="T48" s="88"/>
    </row>
    <row r="49" spans="2:22" x14ac:dyDescent="0.2">
      <c r="B49" s="88"/>
      <c r="T49" s="88"/>
    </row>
    <row r="50" spans="2:22" x14ac:dyDescent="0.2">
      <c r="T50" s="5" t="s">
        <v>605</v>
      </c>
      <c r="U50" s="39"/>
      <c r="V50" s="39"/>
    </row>
    <row r="51" spans="2:22" x14ac:dyDescent="0.2">
      <c r="U51" s="39"/>
      <c r="V51" s="39"/>
    </row>
  </sheetData>
  <mergeCells count="38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75"/>
  <sheetViews>
    <sheetView showZeros="0" tabSelected="1" topLeftCell="A13" zoomScale="85" zoomScaleNormal="85" workbookViewId="0">
      <selection activeCell="E53" sqref="E53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26" t="str">
        <f>NASLOV!B5</f>
        <v>Markus Renz</v>
      </c>
      <c r="B1" s="226"/>
      <c r="C1" s="226"/>
      <c r="D1" s="226"/>
      <c r="E1" s="226"/>
      <c r="F1" s="226"/>
    </row>
    <row r="2" spans="1:18" x14ac:dyDescent="0.2">
      <c r="A2" s="226"/>
      <c r="B2" s="226"/>
      <c r="C2" s="226"/>
      <c r="D2" s="226"/>
      <c r="E2" s="226"/>
      <c r="F2" s="226"/>
    </row>
    <row r="3" spans="1:18" x14ac:dyDescent="0.2">
      <c r="C3" s="224" t="str">
        <f>INDEX(PRIJEVODI!B:D,MATCH("URA-001",PRIJEVODI!A:A,0),MATCH(NASLOV!$B$2,PRIJEVODI!$B$1:$D$1,0))</f>
        <v>STEUERPFLICHTIGER: NAME / NACHNAME</v>
      </c>
      <c r="D3" s="224"/>
      <c r="E3" s="224"/>
      <c r="F3" s="224"/>
      <c r="Q3" s="229"/>
      <c r="R3" s="229"/>
    </row>
    <row r="4" spans="1:18" x14ac:dyDescent="0.2">
      <c r="C4" s="225" t="str">
        <f>NASLOV!B7</f>
        <v>Am Sonnblick 6, Lichtenau</v>
      </c>
      <c r="D4" s="225"/>
      <c r="E4" s="225"/>
      <c r="F4" s="225"/>
    </row>
    <row r="5" spans="1:18" x14ac:dyDescent="0.2">
      <c r="C5" s="225"/>
      <c r="D5" s="225"/>
      <c r="E5" s="225"/>
      <c r="F5" s="225"/>
    </row>
    <row r="6" spans="1:18" x14ac:dyDescent="0.2">
      <c r="C6" s="224" t="str">
        <f>INDEX(PRIJEVODI!B:D,MATCH("URA-002",PRIJEVODI!A:A,0),MATCH(NASLOV!$B$2,PRIJEVODI!$B$1:$D$1,0))</f>
        <v>ADRESSE: ORT, STRASSE UND HAUSNUMMER</v>
      </c>
      <c r="D6" s="224"/>
      <c r="E6" s="224"/>
      <c r="F6" s="224"/>
    </row>
    <row r="7" spans="1:18" x14ac:dyDescent="0.2">
      <c r="C7" s="227"/>
      <c r="D7" s="227"/>
      <c r="E7" s="227"/>
      <c r="F7" s="227"/>
    </row>
    <row r="8" spans="1:18" x14ac:dyDescent="0.2">
      <c r="C8" s="227"/>
      <c r="D8" s="227"/>
      <c r="E8" s="227"/>
      <c r="F8" s="227"/>
    </row>
    <row r="9" spans="1:18" x14ac:dyDescent="0.2">
      <c r="C9" s="224" t="str">
        <f>INDEX(PRIJEVODI!B:D,MATCH("URA-003",PRIJEVODI!A:A,0),MATCH(NASLOV!$B$2,PRIJEVODI!$B$1:$D$1,0))</f>
        <v xml:space="preserve">NUMMERIERUNG GEMÄSS DEM NATIONALEN KLASSIFIZIERUNGSSYSTEM  </v>
      </c>
      <c r="D9" s="224"/>
      <c r="E9" s="224"/>
      <c r="F9" s="224"/>
    </row>
    <row r="10" spans="1:18" x14ac:dyDescent="0.2">
      <c r="C10" s="224"/>
      <c r="D10" s="224"/>
      <c r="E10" s="224"/>
      <c r="F10" s="224"/>
    </row>
    <row r="11" spans="1:18" x14ac:dyDescent="0.2">
      <c r="C11" s="225" t="str">
        <f>NASLOV!B9</f>
        <v>HR6411581446</v>
      </c>
      <c r="D11" s="225"/>
      <c r="E11" s="225"/>
      <c r="F11" s="225"/>
    </row>
    <row r="12" spans="1:18" x14ac:dyDescent="0.2">
      <c r="C12" s="225"/>
      <c r="D12" s="225"/>
      <c r="E12" s="225"/>
      <c r="F12" s="225"/>
    </row>
    <row r="13" spans="1:18" x14ac:dyDescent="0.2">
      <c r="C13" s="224" t="str">
        <f>INDEX(PRIJEVODI!B:D,MATCH("URA-004",PRIJEVODI!A:A,0),MATCH(NASLOV!$B$2,PRIJEVODI!$B$1:$D$1,0))</f>
        <v>STEUERNUMMER (UID)</v>
      </c>
      <c r="D13" s="224"/>
      <c r="E13" s="224"/>
      <c r="F13" s="224"/>
    </row>
    <row r="15" spans="1:18" x14ac:dyDescent="0.2">
      <c r="G15" s="228" t="str">
        <f>INDEX(PRIJEVODI!B:D,MATCH("URA-005",PRIJEVODI!A:A,0),MATCH(NASLOV!$B$2,PRIJEVODI!$B$1:$D$1,0))</f>
        <v>EINGANGSRECHNUNGBUCH</v>
      </c>
      <c r="H15" s="229"/>
      <c r="I15" s="229"/>
      <c r="J15" s="229"/>
      <c r="K15" s="229"/>
      <c r="L15" s="223" t="s">
        <v>580</v>
      </c>
    </row>
    <row r="16" spans="1:18" x14ac:dyDescent="0.2">
      <c r="G16" s="229"/>
      <c r="H16" s="229"/>
      <c r="I16" s="229"/>
      <c r="J16" s="229"/>
      <c r="K16" s="229"/>
      <c r="L16" s="223"/>
      <c r="O16" s="229" t="str">
        <f>INDEX(PRIJEVODI!B:D,MATCH("URA-006",PRIJEVODI!A:A,0),MATCH(NASLOV!$B$2,PRIJEVODI!$B$1:$D$1,0))</f>
        <v>BETRAG IN KUNA UND LIPA</v>
      </c>
      <c r="P16" s="229"/>
      <c r="Q16" s="229"/>
      <c r="R16" s="229"/>
    </row>
    <row r="19" spans="1:20" ht="12.75" customHeight="1" x14ac:dyDescent="0.2">
      <c r="B19" s="198" t="str">
        <f>INDEX(PRIJEVODI!B:D,MATCH("URA-007",PRIJEVODI!A:A,0),MATCH(NASLOV!$B$2,PRIJEVODI!$B$1:$D$1,0))</f>
        <v xml:space="preserve">ORDNUNGSNUMMER </v>
      </c>
      <c r="C19" s="201" t="str">
        <f>INDEX(PRIJEVODI!B:D,MATCH("URA-008",PRIJEVODI!A:A,0),MATCH(NASLOV!$B$2,PRIJEVODI!$B$1:$D$1,0))</f>
        <v>RECHNUNG</v>
      </c>
      <c r="D19" s="202"/>
      <c r="E19" s="247" t="str">
        <f>INDEX(PRIJEVODI!B:D,MATCH("URA-011",PRIJEVODI!A:A,0),MATCH(NASLOV!$B$2,PRIJEVODI!$B$1:$D$1,0))</f>
        <v>LIEFERANT (ANBIETER VON WAREN UND DIENSTLEISTUNGEN)</v>
      </c>
      <c r="F19" s="248"/>
      <c r="G19" s="248"/>
      <c r="H19" s="248"/>
      <c r="I19" s="248"/>
      <c r="J19" s="248"/>
      <c r="K19" s="248"/>
      <c r="L19" s="248"/>
      <c r="M19" s="245"/>
      <c r="N19" s="201" t="str">
        <f>INDEX(PRIJEVODI!B:D,MATCH("URA-020",PRIJEVODI!A:A,0),MATCH(NASLOV!$B$2,PRIJEVODI!$B$1:$D$1,0))</f>
        <v>STEUER</v>
      </c>
      <c r="O19" s="232"/>
      <c r="P19" s="232"/>
      <c r="Q19" s="232"/>
      <c r="R19" s="232"/>
      <c r="S19" s="238"/>
    </row>
    <row r="20" spans="1:20" x14ac:dyDescent="0.2">
      <c r="B20" s="199"/>
      <c r="C20" s="203"/>
      <c r="D20" s="204"/>
      <c r="E20" s="241"/>
      <c r="F20" s="249"/>
      <c r="G20" s="249"/>
      <c r="H20" s="249"/>
      <c r="I20" s="249"/>
      <c r="J20" s="249"/>
      <c r="K20" s="249"/>
      <c r="L20" s="249"/>
      <c r="M20" s="250"/>
      <c r="N20" s="234"/>
      <c r="O20" s="235"/>
      <c r="P20" s="235"/>
      <c r="Q20" s="235"/>
      <c r="R20" s="235"/>
      <c r="S20" s="236"/>
    </row>
    <row r="21" spans="1:20" ht="12.75" customHeight="1" x14ac:dyDescent="0.2">
      <c r="B21" s="199"/>
      <c r="C21" s="211" t="str">
        <f>INDEX(PRIJEVODI!B:D,MATCH("URA-009",PRIJEVODI!A:A,0),MATCH(NASLOV!$B$2,PRIJEVODI!$B$1:$D$1,0))</f>
        <v xml:space="preserve">NUMMER </v>
      </c>
      <c r="D21" s="211" t="str">
        <f>INDEX(PRIJEVODI!B:D,MATCH("URA-010",PRIJEVODI!A:A,0),MATCH(NASLOV!$B$2,PRIJEVODI!$B$1:$D$1,0))</f>
        <v>DATUM</v>
      </c>
      <c r="E21" s="214" t="str">
        <f>INDEX(PRIJEVODI!B:D,MATCH("URA-012",PRIJEVODI!A:A,0),MATCH(NASLOV!$B$2,PRIJEVODI!$B$1:$D$1,0))</f>
        <v>TITEL - NAME UND NACHNAME, GESCHÄFTSSITZ / SITZORT</v>
      </c>
      <c r="F21" s="215"/>
      <c r="G21" s="220" t="str">
        <f>INDEX(PRIJEVODI!B:D,MATCH("URA-013",PRIJEVODI!A:A,0),MATCH(NASLOV!$B$2,PRIJEVODI!$B$1:$D$1,0))</f>
        <v>STEUERNUMMER (UID)</v>
      </c>
      <c r="H21" s="239" t="str">
        <f>INDEX(PRIJEVODI!B:D,MATCH("URA-014",PRIJEVODI!A:A,0),MATCH(NASLOV!$B$2,PRIJEVODI!$B$1:$D$1,0))</f>
        <v>LIEFERWERT</v>
      </c>
      <c r="I21" s="248"/>
      <c r="J21" s="245"/>
      <c r="K21" s="220" t="str">
        <f>INDEX(PRIJEVODI!B:D,MATCH("URA-018",PRIJEVODI!A:A,0),MATCH(NASLOV!$B$2,PRIJEVODI!$B$1:$D$1,0))</f>
        <v>GESAMTBETRAG DER RECHNUNG INKLUSIVE MwST.</v>
      </c>
      <c r="L21" s="51"/>
      <c r="M21" s="211" t="str">
        <f>INDEX(PRIJEVODI!B:D,MATCH("URA-030",PRIJEVODI!A:A,0),MATCH(NASLOV!$B$2,PRIJEVODI!$B$1:$D$1,0))</f>
        <v>TOTAL</v>
      </c>
      <c r="N21" s="237">
        <v>0.05</v>
      </c>
      <c r="O21" s="238"/>
      <c r="P21" s="237">
        <v>0.13</v>
      </c>
      <c r="Q21" s="238"/>
      <c r="R21" s="237">
        <v>0.25</v>
      </c>
      <c r="S21" s="238"/>
    </row>
    <row r="22" spans="1:20" x14ac:dyDescent="0.2">
      <c r="B22" s="199"/>
      <c r="C22" s="212"/>
      <c r="D22" s="212"/>
      <c r="E22" s="216"/>
      <c r="F22" s="217"/>
      <c r="G22" s="221"/>
      <c r="H22" s="240"/>
      <c r="I22" s="251"/>
      <c r="J22" s="252"/>
      <c r="K22" s="221"/>
      <c r="L22" s="52"/>
      <c r="M22" s="212"/>
      <c r="N22" s="234"/>
      <c r="O22" s="236"/>
      <c r="P22" s="234"/>
      <c r="Q22" s="236"/>
      <c r="R22" s="234"/>
      <c r="S22" s="236"/>
    </row>
    <row r="23" spans="1:20" x14ac:dyDescent="0.2">
      <c r="B23" s="199"/>
      <c r="C23" s="212"/>
      <c r="D23" s="212"/>
      <c r="E23" s="216"/>
      <c r="F23" s="217"/>
      <c r="G23" s="221"/>
      <c r="H23" s="240"/>
      <c r="I23" s="251"/>
      <c r="J23" s="252"/>
      <c r="K23" s="221"/>
      <c r="L23" s="52"/>
      <c r="M23" s="212"/>
      <c r="N23" s="220" t="str">
        <f>INDEX(PRIJEVODI!B:D,MATCH("URA-022",PRIJEVODI!A:A,0),MATCH(NASLOV!$B$2,PRIJEVODI!$B$1:$D$1,0))</f>
        <v>ABZUGSFÄHIG</v>
      </c>
      <c r="O23" s="220" t="str">
        <f>INDEX(PRIJEVODI!B:D,MATCH("URA-023",PRIJEVODI!A:A,0),MATCH(NASLOV!$B$2,PRIJEVODI!$B$1:$D$1,0))</f>
        <v>NICHT ABZUGSFÄHIG</v>
      </c>
      <c r="P23" s="220" t="str">
        <f>INDEX(PRIJEVODI!B:D,MATCH("URA-025",PRIJEVODI!A:A,0),MATCH(NASLOV!$B$2,PRIJEVODI!$B$1:$D$1,0))</f>
        <v>ABZUGSFÄHIG</v>
      </c>
      <c r="Q23" s="220" t="str">
        <f>INDEX(PRIJEVODI!B:D,MATCH("URA-026",PRIJEVODI!A:A,0),MATCH(NASLOV!$B$2,PRIJEVODI!$B$1:$D$1,0))</f>
        <v>NICHT ABZUGSFÄHIG</v>
      </c>
      <c r="R23" s="220" t="str">
        <f>INDEX(PRIJEVODI!B:D,MATCH("URA-028",PRIJEVODI!A:A,0),MATCH(NASLOV!$B$2,PRIJEVODI!$B$1:$D$1,0))</f>
        <v>ABZUGSFÄHIG</v>
      </c>
      <c r="S23" s="220" t="str">
        <f>INDEX(PRIJEVODI!B:D,MATCH("URA-029",PRIJEVODI!A:A,0),MATCH(NASLOV!$B$2,PRIJEVODI!$B$1:$D$1,0))</f>
        <v>NICHT ABZUGSFÄHIG</v>
      </c>
    </row>
    <row r="24" spans="1:20" x14ac:dyDescent="0.2">
      <c r="B24" s="199"/>
      <c r="C24" s="212"/>
      <c r="D24" s="212"/>
      <c r="E24" s="216"/>
      <c r="F24" s="217"/>
      <c r="G24" s="221"/>
      <c r="H24" s="240"/>
      <c r="I24" s="251"/>
      <c r="J24" s="252"/>
      <c r="K24" s="221"/>
      <c r="L24" s="55" t="str">
        <f>INDEX(PRIJEVODI!B:D,MATCH("URA-019",PRIJEVODI!A:A,0),MATCH(NASLOV!$B$2,PRIJEVODI!$B$1:$D$1,0))</f>
        <v>STEUERBEFREIUNGEN / ABZUGSFÄHIG</v>
      </c>
      <c r="M24" s="212"/>
      <c r="N24" s="221"/>
      <c r="O24" s="221"/>
      <c r="P24" s="221"/>
      <c r="Q24" s="221"/>
      <c r="R24" s="221"/>
      <c r="S24" s="221"/>
    </row>
    <row r="25" spans="1:20" x14ac:dyDescent="0.2">
      <c r="B25" s="199"/>
      <c r="C25" s="212"/>
      <c r="D25" s="212"/>
      <c r="E25" s="216"/>
      <c r="F25" s="217"/>
      <c r="G25" s="221"/>
      <c r="H25" s="241"/>
      <c r="I25" s="249"/>
      <c r="J25" s="250"/>
      <c r="K25" s="221"/>
      <c r="L25" s="52"/>
      <c r="M25" s="212"/>
      <c r="N25" s="221"/>
      <c r="O25" s="221"/>
      <c r="P25" s="221"/>
      <c r="Q25" s="221"/>
      <c r="R25" s="221"/>
      <c r="S25" s="221"/>
    </row>
    <row r="26" spans="1:20" x14ac:dyDescent="0.2">
      <c r="B26" s="199"/>
      <c r="C26" s="212"/>
      <c r="D26" s="212"/>
      <c r="E26" s="216"/>
      <c r="F26" s="217"/>
      <c r="G26" s="221"/>
      <c r="H26" s="246">
        <v>0.05</v>
      </c>
      <c r="I26" s="246">
        <v>0.13</v>
      </c>
      <c r="J26" s="246">
        <v>0.25</v>
      </c>
      <c r="K26" s="221"/>
      <c r="L26" s="52"/>
      <c r="M26" s="212"/>
      <c r="N26" s="221"/>
      <c r="O26" s="221"/>
      <c r="P26" s="221"/>
      <c r="Q26" s="221"/>
      <c r="R26" s="221"/>
      <c r="S26" s="221"/>
    </row>
    <row r="27" spans="1:20" x14ac:dyDescent="0.2">
      <c r="B27" s="200"/>
      <c r="C27" s="213"/>
      <c r="D27" s="213"/>
      <c r="E27" s="218"/>
      <c r="F27" s="219"/>
      <c r="G27" s="222"/>
      <c r="H27" s="213"/>
      <c r="I27" s="213"/>
      <c r="J27" s="213"/>
      <c r="K27" s="222"/>
      <c r="L27" s="53"/>
      <c r="M27" s="213"/>
      <c r="N27" s="222"/>
      <c r="O27" s="222"/>
      <c r="P27" s="222"/>
      <c r="Q27" s="222"/>
      <c r="R27" s="222"/>
      <c r="S27" s="222"/>
    </row>
    <row r="28" spans="1:20" ht="13.5" thickBot="1" x14ac:dyDescent="0.25">
      <c r="A28" s="145" t="s">
        <v>590</v>
      </c>
      <c r="B28" s="36">
        <v>1</v>
      </c>
      <c r="C28" s="36">
        <v>2</v>
      </c>
      <c r="D28" s="36">
        <v>3</v>
      </c>
      <c r="E28" s="239">
        <v>4</v>
      </c>
      <c r="F28" s="245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162" t="s">
        <v>0</v>
      </c>
      <c r="N28" s="162">
        <v>11</v>
      </c>
      <c r="O28" s="163">
        <v>12</v>
      </c>
      <c r="P28" s="162">
        <v>13</v>
      </c>
      <c r="Q28" s="163">
        <v>14</v>
      </c>
      <c r="R28" s="162">
        <v>15</v>
      </c>
      <c r="S28" s="163">
        <v>16</v>
      </c>
    </row>
    <row r="29" spans="1:20" s="124" customFormat="1" x14ac:dyDescent="0.2">
      <c r="A29" s="165">
        <v>51</v>
      </c>
      <c r="B29" s="166">
        <v>36</v>
      </c>
      <c r="C29" s="167" t="s">
        <v>624</v>
      </c>
      <c r="D29" s="168">
        <v>45117</v>
      </c>
      <c r="E29" s="312" t="s">
        <v>622</v>
      </c>
      <c r="F29" s="313" t="s">
        <v>623</v>
      </c>
      <c r="G29" s="314">
        <v>43965974818</v>
      </c>
      <c r="H29" s="169"/>
      <c r="I29" s="169">
        <v>26.1</v>
      </c>
      <c r="J29" s="170"/>
      <c r="K29" s="171">
        <f t="shared" ref="K29:K58" si="0">H29+I29+J29+M29</f>
        <v>29.493000000000002</v>
      </c>
      <c r="L29" s="172"/>
      <c r="M29" s="172">
        <f>SUM(N29:S29)</f>
        <v>3.3930000000000002</v>
      </c>
      <c r="N29" s="173"/>
      <c r="O29" s="173"/>
      <c r="P29" s="172">
        <f>+I29*0.13</f>
        <v>3.3930000000000002</v>
      </c>
      <c r="Q29" s="173"/>
      <c r="R29" s="172">
        <f>J29*0.25</f>
        <v>0</v>
      </c>
      <c r="S29" s="173"/>
      <c r="T29" s="130"/>
    </row>
    <row r="30" spans="1:20" s="124" customFormat="1" x14ac:dyDescent="0.2">
      <c r="A30" s="144">
        <v>52</v>
      </c>
      <c r="B30" s="125">
        <v>37</v>
      </c>
      <c r="C30" s="139" t="s">
        <v>625</v>
      </c>
      <c r="D30" s="147">
        <v>45117</v>
      </c>
      <c r="E30" s="6" t="s">
        <v>622</v>
      </c>
      <c r="F30" s="126" t="s">
        <v>623</v>
      </c>
      <c r="G30" s="127">
        <v>43965974818</v>
      </c>
      <c r="H30" s="148"/>
      <c r="I30" s="148">
        <v>17.39</v>
      </c>
      <c r="J30" s="149"/>
      <c r="K30" s="129">
        <f t="shared" si="0"/>
        <v>19.650700000000001</v>
      </c>
      <c r="L30" s="122"/>
      <c r="M30" s="122">
        <f t="shared" ref="M30:M59" si="1">SUM(N30:S30)</f>
        <v>2.2606999999999999</v>
      </c>
      <c r="N30" s="128"/>
      <c r="O30" s="128"/>
      <c r="P30" s="122">
        <f>+I30*0.13</f>
        <v>2.2606999999999999</v>
      </c>
      <c r="Q30" s="128"/>
      <c r="R30" s="122">
        <f t="shared" ref="R30:R59" si="2">J30*0.25</f>
        <v>0</v>
      </c>
      <c r="S30" s="128"/>
      <c r="T30" s="130"/>
    </row>
    <row r="31" spans="1:20" s="124" customFormat="1" x14ac:dyDescent="0.2">
      <c r="A31" s="190">
        <v>53</v>
      </c>
      <c r="B31" s="125">
        <v>38</v>
      </c>
      <c r="C31" s="139" t="s">
        <v>626</v>
      </c>
      <c r="D31" s="147">
        <v>45117</v>
      </c>
      <c r="E31" s="6" t="s">
        <v>622</v>
      </c>
      <c r="F31" s="126" t="s">
        <v>623</v>
      </c>
      <c r="G31" s="127">
        <v>43965974818</v>
      </c>
      <c r="H31" s="148"/>
      <c r="I31" s="148">
        <v>19.5</v>
      </c>
      <c r="J31" s="149"/>
      <c r="K31" s="129">
        <f t="shared" si="0"/>
        <v>22.035</v>
      </c>
      <c r="L31" s="122"/>
      <c r="M31" s="122">
        <f t="shared" si="1"/>
        <v>2.5350000000000001</v>
      </c>
      <c r="N31" s="128"/>
      <c r="O31" s="128"/>
      <c r="P31" s="122">
        <f>I31*0.13</f>
        <v>2.5350000000000001</v>
      </c>
      <c r="Q31" s="128"/>
      <c r="R31" s="122">
        <f t="shared" si="2"/>
        <v>0</v>
      </c>
      <c r="S31" s="128"/>
      <c r="T31" s="130"/>
    </row>
    <row r="32" spans="1:20" s="124" customFormat="1" x14ac:dyDescent="0.2">
      <c r="A32" s="190">
        <v>54</v>
      </c>
      <c r="B32" s="125">
        <v>39</v>
      </c>
      <c r="C32" s="139" t="s">
        <v>627</v>
      </c>
      <c r="D32" s="147">
        <v>45117</v>
      </c>
      <c r="E32" s="6" t="s">
        <v>622</v>
      </c>
      <c r="F32" s="126" t="s">
        <v>623</v>
      </c>
      <c r="G32" s="127">
        <v>43965974818</v>
      </c>
      <c r="H32" s="183"/>
      <c r="I32" s="183">
        <v>35.24</v>
      </c>
      <c r="J32" s="184"/>
      <c r="K32" s="129">
        <f t="shared" si="0"/>
        <v>39.821200000000005</v>
      </c>
      <c r="L32" s="185"/>
      <c r="M32" s="185">
        <f t="shared" si="1"/>
        <v>4.5812000000000008</v>
      </c>
      <c r="N32" s="186"/>
      <c r="O32" s="186"/>
      <c r="P32" s="185">
        <f>+I32*0.13</f>
        <v>4.5812000000000008</v>
      </c>
      <c r="Q32" s="186"/>
      <c r="R32" s="185">
        <f t="shared" si="2"/>
        <v>0</v>
      </c>
      <c r="S32" s="186"/>
      <c r="T32" s="130"/>
    </row>
    <row r="33" spans="1:20" s="124" customFormat="1" x14ac:dyDescent="0.2">
      <c r="A33" s="190">
        <v>55</v>
      </c>
      <c r="B33" s="125">
        <v>40</v>
      </c>
      <c r="C33" s="139" t="s">
        <v>628</v>
      </c>
      <c r="D33" s="147">
        <v>45138</v>
      </c>
      <c r="E33" s="6" t="s">
        <v>587</v>
      </c>
      <c r="F33" s="126" t="s">
        <v>608</v>
      </c>
      <c r="G33" s="127">
        <v>51260824290</v>
      </c>
      <c r="H33" s="148"/>
      <c r="I33" s="148">
        <v>3.32</v>
      </c>
      <c r="J33" s="149"/>
      <c r="K33" s="129">
        <f t="shared" si="0"/>
        <v>3.7515999999999998</v>
      </c>
      <c r="L33" s="122"/>
      <c r="M33" s="122">
        <f t="shared" si="1"/>
        <v>0.43159999999999998</v>
      </c>
      <c r="N33" s="128">
        <f>+H33*0.05</f>
        <v>0</v>
      </c>
      <c r="O33" s="128"/>
      <c r="P33" s="122">
        <f t="shared" ref="P33:P34" si="3">+I33*0.13</f>
        <v>0.43159999999999998</v>
      </c>
      <c r="Q33" s="128"/>
      <c r="R33" s="122">
        <f t="shared" si="2"/>
        <v>0</v>
      </c>
      <c r="S33" s="128"/>
      <c r="T33" s="130"/>
    </row>
    <row r="34" spans="1:20" s="124" customFormat="1" x14ac:dyDescent="0.2">
      <c r="A34" s="190">
        <v>56</v>
      </c>
      <c r="B34" s="125">
        <v>41</v>
      </c>
      <c r="C34" s="2" t="s">
        <v>629</v>
      </c>
      <c r="D34" s="147">
        <v>45138</v>
      </c>
      <c r="E34" s="6" t="s">
        <v>587</v>
      </c>
      <c r="F34" s="126" t="s">
        <v>608</v>
      </c>
      <c r="G34" s="127">
        <v>51260824290</v>
      </c>
      <c r="H34" s="148"/>
      <c r="I34" s="148">
        <v>3.32</v>
      </c>
      <c r="J34" s="149"/>
      <c r="K34" s="129">
        <f t="shared" si="0"/>
        <v>3.7515999999999998</v>
      </c>
      <c r="L34" s="122"/>
      <c r="M34" s="122">
        <f t="shared" si="1"/>
        <v>0.43159999999999998</v>
      </c>
      <c r="N34" s="128"/>
      <c r="O34" s="128"/>
      <c r="P34" s="122">
        <f t="shared" si="3"/>
        <v>0.43159999999999998</v>
      </c>
      <c r="Q34" s="128"/>
      <c r="R34" s="122">
        <f t="shared" si="2"/>
        <v>0</v>
      </c>
      <c r="S34" s="128"/>
      <c r="T34" s="130"/>
    </row>
    <row r="35" spans="1:20" s="124" customFormat="1" x14ac:dyDescent="0.2">
      <c r="A35" s="190">
        <v>57</v>
      </c>
      <c r="B35" s="125">
        <v>42</v>
      </c>
      <c r="C35" s="139" t="s">
        <v>630</v>
      </c>
      <c r="D35" s="147">
        <v>45138</v>
      </c>
      <c r="E35" s="6" t="s">
        <v>587</v>
      </c>
      <c r="F35" s="126" t="s">
        <v>608</v>
      </c>
      <c r="G35" s="127">
        <v>51260824290</v>
      </c>
      <c r="H35" s="148"/>
      <c r="I35" s="148">
        <v>3.32</v>
      </c>
      <c r="J35" s="149"/>
      <c r="K35" s="129">
        <f t="shared" si="0"/>
        <v>3.7515999999999998</v>
      </c>
      <c r="L35" s="122"/>
      <c r="M35" s="122">
        <f t="shared" si="1"/>
        <v>0.43159999999999998</v>
      </c>
      <c r="N35" s="128">
        <f t="shared" ref="N35" si="4">+H35*0.05</f>
        <v>0</v>
      </c>
      <c r="O35" s="128"/>
      <c r="P35" s="122">
        <f>+I35*0.13</f>
        <v>0.43159999999999998</v>
      </c>
      <c r="Q35" s="128"/>
      <c r="R35" s="122">
        <f t="shared" ref="R35:R54" si="5">J35*0.25</f>
        <v>0</v>
      </c>
      <c r="S35" s="128"/>
      <c r="T35" s="130"/>
    </row>
    <row r="36" spans="1:20" s="124" customFormat="1" x14ac:dyDescent="0.2">
      <c r="A36" s="190">
        <v>58</v>
      </c>
      <c r="B36" s="125">
        <v>43</v>
      </c>
      <c r="C36" s="139" t="s">
        <v>629</v>
      </c>
      <c r="D36" s="147">
        <v>45138</v>
      </c>
      <c r="E36" s="180" t="s">
        <v>588</v>
      </c>
      <c r="F36" s="181" t="s">
        <v>595</v>
      </c>
      <c r="G36" s="182">
        <v>77465071491</v>
      </c>
      <c r="H36" s="148"/>
      <c r="I36" s="148">
        <v>15.93</v>
      </c>
      <c r="J36" s="149"/>
      <c r="K36" s="129">
        <f t="shared" si="0"/>
        <v>18.000900000000001</v>
      </c>
      <c r="L36" s="122"/>
      <c r="M36" s="122">
        <f t="shared" si="1"/>
        <v>2.0709</v>
      </c>
      <c r="N36" s="128"/>
      <c r="O36" s="128"/>
      <c r="P36" s="122">
        <f t="shared" ref="P36:P54" si="6">+I36*0.13</f>
        <v>2.0709</v>
      </c>
      <c r="Q36" s="128"/>
      <c r="R36" s="122">
        <f t="shared" si="5"/>
        <v>0</v>
      </c>
      <c r="S36" s="128"/>
      <c r="T36" s="130"/>
    </row>
    <row r="37" spans="1:20" s="124" customFormat="1" x14ac:dyDescent="0.2">
      <c r="A37" s="190">
        <v>59</v>
      </c>
      <c r="B37" s="125">
        <v>44</v>
      </c>
      <c r="C37" s="139" t="s">
        <v>638</v>
      </c>
      <c r="D37" s="147">
        <v>45138</v>
      </c>
      <c r="E37" s="2" t="s">
        <v>589</v>
      </c>
      <c r="F37" s="2" t="s">
        <v>594</v>
      </c>
      <c r="G37" s="127">
        <v>26618043061</v>
      </c>
      <c r="H37" s="148"/>
      <c r="I37" s="148"/>
      <c r="J37" s="149">
        <v>300</v>
      </c>
      <c r="K37" s="129">
        <f t="shared" ref="K37" si="7">H37+I37+J37+M37</f>
        <v>375</v>
      </c>
      <c r="L37" s="122"/>
      <c r="M37" s="122">
        <f t="shared" ref="M37" si="8">SUM(N37:S37)</f>
        <v>75</v>
      </c>
      <c r="N37" s="128"/>
      <c r="O37" s="128"/>
      <c r="P37" s="122">
        <f t="shared" ref="P37" si="9">+I37*0.13</f>
        <v>0</v>
      </c>
      <c r="Q37" s="128"/>
      <c r="R37" s="122">
        <f t="shared" ref="R37" si="10">J37*0.25</f>
        <v>75</v>
      </c>
      <c r="S37" s="128"/>
      <c r="T37" s="130"/>
    </row>
    <row r="38" spans="1:20" s="124" customFormat="1" x14ac:dyDescent="0.2">
      <c r="A38" s="190">
        <v>62</v>
      </c>
      <c r="B38" s="125">
        <v>45</v>
      </c>
      <c r="C38" s="139" t="s">
        <v>634</v>
      </c>
      <c r="D38" s="44">
        <v>45148</v>
      </c>
      <c r="E38" s="6" t="s">
        <v>622</v>
      </c>
      <c r="F38" s="126" t="s">
        <v>623</v>
      </c>
      <c r="G38" s="127">
        <v>43965974818</v>
      </c>
      <c r="H38" s="148"/>
      <c r="I38" s="148">
        <v>54.41</v>
      </c>
      <c r="J38" s="149">
        <v>0</v>
      </c>
      <c r="K38" s="129">
        <f t="shared" si="0"/>
        <v>61.4833</v>
      </c>
      <c r="L38" s="122"/>
      <c r="M38" s="122">
        <f>SUM(N38:S38)</f>
        <v>7.0732999999999997</v>
      </c>
      <c r="N38" s="128">
        <f t="shared" ref="N38" si="11">+H38*0.05</f>
        <v>0</v>
      </c>
      <c r="O38" s="128"/>
      <c r="P38" s="122">
        <f t="shared" si="6"/>
        <v>7.0732999999999997</v>
      </c>
      <c r="Q38" s="128"/>
      <c r="R38" s="122">
        <f t="shared" si="5"/>
        <v>0</v>
      </c>
      <c r="S38" s="128"/>
      <c r="T38" s="130"/>
    </row>
    <row r="39" spans="1:20" s="124" customFormat="1" x14ac:dyDescent="0.2">
      <c r="A39" s="190">
        <v>63</v>
      </c>
      <c r="B39" s="125">
        <v>46</v>
      </c>
      <c r="C39" s="139" t="s">
        <v>635</v>
      </c>
      <c r="D39" s="44">
        <v>45148</v>
      </c>
      <c r="E39" s="6" t="s">
        <v>622</v>
      </c>
      <c r="F39" s="126" t="s">
        <v>623</v>
      </c>
      <c r="G39" s="127">
        <v>43965974818</v>
      </c>
      <c r="H39" s="148"/>
      <c r="I39" s="148">
        <v>49.4</v>
      </c>
      <c r="J39" s="149"/>
      <c r="K39" s="129">
        <f t="shared" si="0"/>
        <v>55.821999999999996</v>
      </c>
      <c r="L39" s="122"/>
      <c r="M39" s="122">
        <f t="shared" si="1"/>
        <v>6.4219999999999997</v>
      </c>
      <c r="N39" s="128"/>
      <c r="O39" s="128"/>
      <c r="P39" s="122">
        <f t="shared" si="6"/>
        <v>6.4219999999999997</v>
      </c>
      <c r="Q39" s="128"/>
      <c r="R39" s="122">
        <f t="shared" si="5"/>
        <v>0</v>
      </c>
      <c r="S39" s="128"/>
      <c r="T39" s="130"/>
    </row>
    <row r="40" spans="1:20" s="124" customFormat="1" x14ac:dyDescent="0.2">
      <c r="A40" s="190">
        <v>64</v>
      </c>
      <c r="B40" s="125">
        <v>47</v>
      </c>
      <c r="C40" s="139" t="s">
        <v>636</v>
      </c>
      <c r="D40" s="44">
        <v>45148</v>
      </c>
      <c r="E40" s="6" t="s">
        <v>622</v>
      </c>
      <c r="F40" s="126" t="s">
        <v>623</v>
      </c>
      <c r="G40" s="127">
        <v>43965974818</v>
      </c>
      <c r="H40" s="148"/>
      <c r="I40" s="148">
        <v>20</v>
      </c>
      <c r="J40" s="149"/>
      <c r="K40" s="129">
        <f t="shared" si="0"/>
        <v>22.6</v>
      </c>
      <c r="L40" s="122"/>
      <c r="M40" s="122">
        <f t="shared" si="1"/>
        <v>2.6</v>
      </c>
      <c r="N40" s="128">
        <f t="shared" ref="N40" si="12">+H40*0.05</f>
        <v>0</v>
      </c>
      <c r="O40" s="128"/>
      <c r="P40" s="122">
        <f t="shared" si="6"/>
        <v>2.6</v>
      </c>
      <c r="Q40" s="128"/>
      <c r="R40" s="122">
        <f t="shared" si="5"/>
        <v>0</v>
      </c>
      <c r="S40" s="128"/>
      <c r="T40" s="130"/>
    </row>
    <row r="41" spans="1:20" s="124" customFormat="1" x14ac:dyDescent="0.2">
      <c r="A41" s="190">
        <v>65</v>
      </c>
      <c r="B41" s="125">
        <v>48</v>
      </c>
      <c r="C41" s="139" t="s">
        <v>637</v>
      </c>
      <c r="D41" s="44">
        <v>45148</v>
      </c>
      <c r="E41" s="6" t="s">
        <v>622</v>
      </c>
      <c r="F41" s="126" t="s">
        <v>623</v>
      </c>
      <c r="G41" s="127">
        <v>43965974818</v>
      </c>
      <c r="H41" s="148"/>
      <c r="I41" s="148">
        <v>99.91</v>
      </c>
      <c r="J41" s="149"/>
      <c r="K41" s="129">
        <f t="shared" ref="K41:K42" si="13">H41+I41+J41+M41</f>
        <v>112.89829999999999</v>
      </c>
      <c r="L41" s="122"/>
      <c r="M41" s="122">
        <f t="shared" ref="M41:M42" si="14">SUM(N41:S41)</f>
        <v>12.988300000000001</v>
      </c>
      <c r="N41" s="128">
        <f t="shared" ref="N41" si="15">+H41*0.05</f>
        <v>0</v>
      </c>
      <c r="O41" s="128"/>
      <c r="P41" s="122">
        <f t="shared" ref="P41" si="16">+I41*0.13</f>
        <v>12.988300000000001</v>
      </c>
      <c r="Q41" s="128"/>
      <c r="R41" s="122">
        <f t="shared" ref="R41" si="17">J41*0.25</f>
        <v>0</v>
      </c>
      <c r="S41" s="128"/>
      <c r="T41" s="130"/>
    </row>
    <row r="42" spans="1:20" s="124" customFormat="1" x14ac:dyDescent="0.2">
      <c r="A42" s="190">
        <v>66</v>
      </c>
      <c r="B42" s="125">
        <v>49</v>
      </c>
      <c r="C42" s="139" t="s">
        <v>639</v>
      </c>
      <c r="D42" s="44">
        <v>45169</v>
      </c>
      <c r="E42" s="6" t="s">
        <v>587</v>
      </c>
      <c r="F42" s="126" t="s">
        <v>608</v>
      </c>
      <c r="G42" s="127">
        <v>51260824290</v>
      </c>
      <c r="H42" s="148"/>
      <c r="I42" s="148">
        <v>40.94</v>
      </c>
      <c r="J42" s="149"/>
      <c r="K42" s="129">
        <f t="shared" si="13"/>
        <v>69.682199999999995</v>
      </c>
      <c r="L42" s="122"/>
      <c r="M42" s="122">
        <f t="shared" si="14"/>
        <v>28.7422</v>
      </c>
      <c r="N42" s="128">
        <f t="shared" ref="N42" si="18">+H42*0.05</f>
        <v>0</v>
      </c>
      <c r="O42" s="128"/>
      <c r="P42" s="122">
        <f t="shared" ref="P42" si="19">+I42*0.13</f>
        <v>5.3221999999999996</v>
      </c>
      <c r="Q42" s="128">
        <v>23.42</v>
      </c>
      <c r="R42" s="122">
        <f t="shared" ref="R42" si="20">J42*0.25</f>
        <v>0</v>
      </c>
      <c r="S42" s="128"/>
      <c r="T42" s="130"/>
    </row>
    <row r="43" spans="1:20" s="124" customFormat="1" x14ac:dyDescent="0.2">
      <c r="A43" s="190">
        <v>67</v>
      </c>
      <c r="B43" s="125">
        <v>50</v>
      </c>
      <c r="C43" s="139" t="s">
        <v>640</v>
      </c>
      <c r="D43" s="44">
        <v>45169</v>
      </c>
      <c r="E43" s="6" t="s">
        <v>587</v>
      </c>
      <c r="F43" s="126" t="s">
        <v>608</v>
      </c>
      <c r="G43" s="127">
        <v>51260824290</v>
      </c>
      <c r="H43" s="148"/>
      <c r="I43" s="148">
        <v>21.24</v>
      </c>
      <c r="J43" s="149"/>
      <c r="K43" s="129">
        <f t="shared" si="0"/>
        <v>35.151200000000003</v>
      </c>
      <c r="L43" s="122"/>
      <c r="M43" s="122">
        <f t="shared" si="1"/>
        <v>13.911200000000001</v>
      </c>
      <c r="N43" s="128"/>
      <c r="O43" s="128"/>
      <c r="P43" s="122">
        <f t="shared" si="6"/>
        <v>2.7612000000000001</v>
      </c>
      <c r="Q43" s="128">
        <v>11.15</v>
      </c>
      <c r="R43" s="122">
        <f t="shared" si="5"/>
        <v>0</v>
      </c>
      <c r="S43" s="128"/>
      <c r="T43" s="130"/>
    </row>
    <row r="44" spans="1:20" s="124" customFormat="1" x14ac:dyDescent="0.2">
      <c r="A44" s="190">
        <v>68</v>
      </c>
      <c r="B44" s="125">
        <v>51</v>
      </c>
      <c r="C44" s="139" t="s">
        <v>641</v>
      </c>
      <c r="D44" s="44">
        <v>45169</v>
      </c>
      <c r="E44" s="6" t="s">
        <v>587</v>
      </c>
      <c r="F44" s="126" t="s">
        <v>608</v>
      </c>
      <c r="G44" s="127">
        <v>51260824290</v>
      </c>
      <c r="H44" s="148"/>
      <c r="I44" s="148">
        <v>66.930000000000007</v>
      </c>
      <c r="J44" s="149"/>
      <c r="K44" s="129">
        <f t="shared" si="0"/>
        <v>115.21090000000001</v>
      </c>
      <c r="L44" s="122"/>
      <c r="M44" s="122">
        <f t="shared" si="1"/>
        <v>48.280900000000003</v>
      </c>
      <c r="N44" s="128"/>
      <c r="O44" s="128"/>
      <c r="P44" s="122">
        <f t="shared" si="6"/>
        <v>8.7009000000000007</v>
      </c>
      <c r="Q44" s="128">
        <v>39.58</v>
      </c>
      <c r="R44" s="122">
        <f t="shared" si="5"/>
        <v>0</v>
      </c>
      <c r="S44" s="128"/>
      <c r="T44" s="130"/>
    </row>
    <row r="45" spans="1:20" s="124" customFormat="1" x14ac:dyDescent="0.2">
      <c r="A45" s="190">
        <v>69</v>
      </c>
      <c r="B45" s="125">
        <v>52</v>
      </c>
      <c r="C45" s="139" t="s">
        <v>641</v>
      </c>
      <c r="D45" s="44">
        <v>45169</v>
      </c>
      <c r="E45" s="180" t="s">
        <v>588</v>
      </c>
      <c r="F45" s="181" t="s">
        <v>595</v>
      </c>
      <c r="G45" s="182">
        <v>77465071491</v>
      </c>
      <c r="H45" s="148"/>
      <c r="I45" s="148">
        <v>15.93</v>
      </c>
      <c r="J45" s="149"/>
      <c r="K45" s="129">
        <f t="shared" si="0"/>
        <v>18.000900000000001</v>
      </c>
      <c r="L45" s="122"/>
      <c r="M45" s="122">
        <f t="shared" si="1"/>
        <v>2.0709</v>
      </c>
      <c r="N45" s="128">
        <f t="shared" ref="N45" si="21">+H45*0.05</f>
        <v>0</v>
      </c>
      <c r="O45" s="128"/>
      <c r="P45" s="122">
        <f t="shared" si="6"/>
        <v>2.0709</v>
      </c>
      <c r="Q45" s="128"/>
      <c r="R45" s="122">
        <f t="shared" si="5"/>
        <v>0</v>
      </c>
      <c r="S45" s="128"/>
      <c r="T45" s="130"/>
    </row>
    <row r="46" spans="1:20" s="124" customFormat="1" x14ac:dyDescent="0.2">
      <c r="A46" s="190">
        <v>70</v>
      </c>
      <c r="B46" s="146">
        <v>53</v>
      </c>
      <c r="C46" s="139" t="s">
        <v>685</v>
      </c>
      <c r="D46" s="44">
        <v>45169</v>
      </c>
      <c r="E46" s="2" t="s">
        <v>589</v>
      </c>
      <c r="F46" s="2" t="s">
        <v>594</v>
      </c>
      <c r="G46" s="127">
        <v>26618043061</v>
      </c>
      <c r="H46" s="148"/>
      <c r="I46" s="148"/>
      <c r="J46" s="149">
        <v>300</v>
      </c>
      <c r="K46" s="129">
        <f t="shared" ref="K46" si="22">H46+I46+J46+M46</f>
        <v>375</v>
      </c>
      <c r="L46" s="122"/>
      <c r="M46" s="122">
        <f t="shared" ref="M46" si="23">SUM(N46:S46)</f>
        <v>75</v>
      </c>
      <c r="N46" s="128">
        <f t="shared" ref="N46" si="24">+H46*0.05</f>
        <v>0</v>
      </c>
      <c r="O46" s="128"/>
      <c r="P46" s="122">
        <f t="shared" ref="P46" si="25">+I46*0.13</f>
        <v>0</v>
      </c>
      <c r="Q46" s="128"/>
      <c r="R46" s="122">
        <f t="shared" ref="R46" si="26">J46*0.25</f>
        <v>75</v>
      </c>
      <c r="S46" s="128"/>
      <c r="T46" s="130"/>
    </row>
    <row r="47" spans="1:20" s="124" customFormat="1" x14ac:dyDescent="0.2">
      <c r="A47" s="190">
        <v>71</v>
      </c>
      <c r="B47" s="146">
        <v>54</v>
      </c>
      <c r="C47" s="139" t="s">
        <v>642</v>
      </c>
      <c r="D47" s="44">
        <v>45169</v>
      </c>
      <c r="E47" s="6" t="s">
        <v>618</v>
      </c>
      <c r="F47" s="126" t="s">
        <v>619</v>
      </c>
      <c r="G47" s="127">
        <v>81793146560</v>
      </c>
      <c r="H47" s="148"/>
      <c r="I47" s="148">
        <v>0</v>
      </c>
      <c r="J47" s="149">
        <v>25.372</v>
      </c>
      <c r="K47" s="129">
        <f t="shared" si="0"/>
        <v>31.715</v>
      </c>
      <c r="L47" s="122"/>
      <c r="M47" s="122">
        <f t="shared" si="1"/>
        <v>6.343</v>
      </c>
      <c r="N47" s="128"/>
      <c r="O47" s="128"/>
      <c r="P47" s="122">
        <f t="shared" si="6"/>
        <v>0</v>
      </c>
      <c r="Q47" s="128"/>
      <c r="R47" s="122">
        <f t="shared" si="5"/>
        <v>6.343</v>
      </c>
      <c r="S47" s="128"/>
      <c r="T47" s="130"/>
    </row>
    <row r="48" spans="1:20" s="124" customFormat="1" x14ac:dyDescent="0.2">
      <c r="A48" s="190"/>
      <c r="B48" s="125"/>
      <c r="C48" s="139"/>
      <c r="D48" s="44"/>
      <c r="E48" s="6"/>
      <c r="F48" s="126"/>
      <c r="G48" s="127"/>
      <c r="H48" s="148">
        <v>0</v>
      </c>
      <c r="I48" s="148"/>
      <c r="J48" s="149">
        <v>0</v>
      </c>
      <c r="K48" s="129">
        <f t="shared" si="0"/>
        <v>0</v>
      </c>
      <c r="L48" s="122"/>
      <c r="M48" s="122">
        <f t="shared" si="1"/>
        <v>0</v>
      </c>
      <c r="N48" s="128">
        <f t="shared" ref="N48" si="27">+H48*0.05</f>
        <v>0</v>
      </c>
      <c r="O48" s="128"/>
      <c r="P48" s="122">
        <f t="shared" si="6"/>
        <v>0</v>
      </c>
      <c r="Q48" s="128"/>
      <c r="R48" s="122">
        <f t="shared" si="5"/>
        <v>0</v>
      </c>
      <c r="S48" s="128"/>
      <c r="T48" s="130"/>
    </row>
    <row r="49" spans="1:20" s="124" customFormat="1" x14ac:dyDescent="0.2">
      <c r="A49" s="190"/>
      <c r="B49" s="125"/>
      <c r="C49" s="139"/>
      <c r="D49" s="44"/>
      <c r="E49" s="2"/>
      <c r="F49" s="2"/>
      <c r="G49" s="127"/>
      <c r="H49" s="148"/>
      <c r="I49" s="148"/>
      <c r="J49" s="149">
        <v>0</v>
      </c>
      <c r="K49" s="129">
        <f t="shared" si="0"/>
        <v>0</v>
      </c>
      <c r="L49" s="122"/>
      <c r="M49" s="122">
        <f t="shared" si="1"/>
        <v>0</v>
      </c>
      <c r="N49" s="128"/>
      <c r="O49" s="128"/>
      <c r="P49" s="122">
        <f t="shared" si="6"/>
        <v>0</v>
      </c>
      <c r="Q49" s="128"/>
      <c r="R49" s="122">
        <f t="shared" si="5"/>
        <v>0</v>
      </c>
      <c r="S49" s="128"/>
      <c r="T49" s="130"/>
    </row>
    <row r="50" spans="1:20" s="124" customFormat="1" x14ac:dyDescent="0.2">
      <c r="A50" s="190"/>
      <c r="B50" s="125"/>
      <c r="C50" s="139"/>
      <c r="D50" s="44"/>
      <c r="E50" s="6"/>
      <c r="F50" s="126"/>
      <c r="G50" s="127"/>
      <c r="H50" s="148"/>
      <c r="I50" s="148"/>
      <c r="J50" s="149">
        <v>0</v>
      </c>
      <c r="K50" s="129">
        <f t="shared" ref="K50" si="28">H50+I50+J50+M50</f>
        <v>0</v>
      </c>
      <c r="L50" s="122"/>
      <c r="M50" s="122">
        <f t="shared" ref="M50" si="29">SUM(N50:S50)</f>
        <v>0</v>
      </c>
      <c r="N50" s="128"/>
      <c r="O50" s="128"/>
      <c r="P50" s="122">
        <f t="shared" ref="P50" si="30">+I50*0.13</f>
        <v>0</v>
      </c>
      <c r="Q50" s="128"/>
      <c r="R50" s="122">
        <f t="shared" ref="R50" si="31">J50*0.25</f>
        <v>0</v>
      </c>
      <c r="S50" s="128"/>
      <c r="T50" s="130"/>
    </row>
    <row r="51" spans="1:20" s="124" customFormat="1" x14ac:dyDescent="0.2">
      <c r="A51" s="190"/>
      <c r="B51" s="125"/>
      <c r="C51" s="139"/>
      <c r="D51" s="44"/>
      <c r="E51" s="6"/>
      <c r="F51" s="126"/>
      <c r="G51" s="127"/>
      <c r="H51" s="148"/>
      <c r="I51" s="148">
        <v>0</v>
      </c>
      <c r="J51" s="149"/>
      <c r="K51" s="129">
        <f t="shared" si="0"/>
        <v>0</v>
      </c>
      <c r="L51" s="122"/>
      <c r="M51" s="122">
        <f t="shared" si="1"/>
        <v>0</v>
      </c>
      <c r="N51" s="128"/>
      <c r="O51" s="128"/>
      <c r="P51" s="122">
        <f t="shared" si="6"/>
        <v>0</v>
      </c>
      <c r="Q51" s="128"/>
      <c r="R51" s="122">
        <f t="shared" si="5"/>
        <v>0</v>
      </c>
      <c r="S51" s="128"/>
      <c r="T51" s="130"/>
    </row>
    <row r="52" spans="1:20" s="124" customFormat="1" x14ac:dyDescent="0.2">
      <c r="A52" s="190"/>
      <c r="B52" s="125"/>
      <c r="C52" s="139"/>
      <c r="D52" s="44"/>
      <c r="E52" s="6"/>
      <c r="F52" s="126"/>
      <c r="G52" s="127"/>
      <c r="H52" s="148"/>
      <c r="I52" s="148">
        <v>0</v>
      </c>
      <c r="J52" s="149"/>
      <c r="K52" s="129">
        <f t="shared" si="0"/>
        <v>0</v>
      </c>
      <c r="L52" s="122"/>
      <c r="M52" s="122">
        <f t="shared" si="1"/>
        <v>0</v>
      </c>
      <c r="N52" s="128">
        <f t="shared" ref="N52" si="32">+H52*0.05</f>
        <v>0</v>
      </c>
      <c r="O52" s="128"/>
      <c r="P52" s="122">
        <f t="shared" si="6"/>
        <v>0</v>
      </c>
      <c r="Q52" s="128"/>
      <c r="R52" s="122">
        <f t="shared" si="5"/>
        <v>0</v>
      </c>
      <c r="S52" s="128"/>
      <c r="T52" s="130"/>
    </row>
    <row r="53" spans="1:20" s="124" customFormat="1" x14ac:dyDescent="0.2">
      <c r="A53" s="190"/>
      <c r="B53" s="125"/>
      <c r="C53" s="139"/>
      <c r="D53" s="44"/>
      <c r="E53" s="6"/>
      <c r="F53" s="126"/>
      <c r="G53" s="127"/>
      <c r="H53" s="148"/>
      <c r="I53" s="148">
        <v>0</v>
      </c>
      <c r="J53" s="149"/>
      <c r="K53" s="129">
        <f t="shared" si="0"/>
        <v>0</v>
      </c>
      <c r="L53" s="122"/>
      <c r="M53" s="122">
        <f t="shared" si="1"/>
        <v>0</v>
      </c>
      <c r="N53" s="128"/>
      <c r="O53" s="128"/>
      <c r="P53" s="122">
        <f t="shared" si="6"/>
        <v>0</v>
      </c>
      <c r="Q53" s="128"/>
      <c r="R53" s="122">
        <f t="shared" si="5"/>
        <v>0</v>
      </c>
      <c r="S53" s="128"/>
      <c r="T53" s="130"/>
    </row>
    <row r="54" spans="1:20" x14ac:dyDescent="0.2">
      <c r="A54" s="190"/>
      <c r="B54" s="125"/>
      <c r="C54" s="139"/>
      <c r="D54" s="44"/>
      <c r="E54" s="6"/>
      <c r="F54" s="126"/>
      <c r="G54" s="127"/>
      <c r="H54" s="148"/>
      <c r="I54" s="148">
        <v>0</v>
      </c>
      <c r="J54" s="149"/>
      <c r="K54" s="129">
        <f t="shared" si="0"/>
        <v>0</v>
      </c>
      <c r="L54" s="122"/>
      <c r="M54" s="122">
        <f t="shared" si="1"/>
        <v>0</v>
      </c>
      <c r="N54" s="128">
        <f t="shared" ref="N54" si="33">+H54*0.05</f>
        <v>0</v>
      </c>
      <c r="O54" s="128"/>
      <c r="P54" s="122">
        <f t="shared" si="6"/>
        <v>0</v>
      </c>
      <c r="Q54" s="128"/>
      <c r="R54" s="122">
        <f t="shared" si="5"/>
        <v>0</v>
      </c>
      <c r="S54" s="128"/>
    </row>
    <row r="55" spans="1:20" x14ac:dyDescent="0.2">
      <c r="A55" s="190"/>
      <c r="B55" s="125"/>
      <c r="C55" s="2"/>
      <c r="D55" s="164"/>
      <c r="E55" s="2"/>
      <c r="F55" s="2"/>
      <c r="G55" s="127"/>
      <c r="H55" s="148"/>
      <c r="I55" s="148">
        <v>0</v>
      </c>
      <c r="J55" s="149"/>
      <c r="K55" s="129">
        <f>H55+I55+J55+M55</f>
        <v>0</v>
      </c>
      <c r="L55" s="122"/>
      <c r="M55" s="122">
        <f>SUM(N55:S55)</f>
        <v>0</v>
      </c>
      <c r="N55" s="128"/>
      <c r="O55" s="128"/>
      <c r="P55" s="122">
        <f t="shared" ref="P55" si="34">+I55*0.13</f>
        <v>0</v>
      </c>
      <c r="Q55" s="128"/>
      <c r="R55" s="122">
        <f>J55*0.25</f>
        <v>0</v>
      </c>
      <c r="S55" s="128"/>
    </row>
    <row r="56" spans="1:20" x14ac:dyDescent="0.2">
      <c r="A56" s="191"/>
      <c r="B56" s="125"/>
      <c r="C56" s="139"/>
      <c r="D56" s="44"/>
      <c r="E56" s="6"/>
      <c r="F56" s="126"/>
      <c r="G56" s="127"/>
      <c r="H56" s="6"/>
      <c r="I56" s="146"/>
      <c r="J56" s="150"/>
      <c r="K56" s="129"/>
      <c r="L56" s="6"/>
      <c r="M56" s="122"/>
      <c r="N56" s="6"/>
      <c r="O56" s="6"/>
      <c r="P56" s="122"/>
      <c r="Q56" s="6"/>
      <c r="R56" s="122"/>
      <c r="S56" s="6"/>
    </row>
    <row r="57" spans="1:20" x14ac:dyDescent="0.2">
      <c r="A57" s="191"/>
      <c r="B57" s="174"/>
      <c r="C57" s="175"/>
      <c r="D57" s="187"/>
      <c r="E57" s="175"/>
      <c r="F57" s="176"/>
      <c r="G57" s="177"/>
      <c r="H57" s="175"/>
      <c r="I57" s="188"/>
      <c r="J57" s="189"/>
      <c r="K57" s="178">
        <f t="shared" ref="K57" si="35">H57+I57+J57+M57</f>
        <v>0</v>
      </c>
      <c r="L57" s="175"/>
      <c r="M57" s="179">
        <f>SUM(N57:S57)</f>
        <v>0</v>
      </c>
      <c r="N57" s="175"/>
      <c r="O57" s="175"/>
      <c r="P57" s="179">
        <f t="shared" ref="P57:P59" si="36">+I57*0.13</f>
        <v>0</v>
      </c>
      <c r="Q57" s="175"/>
      <c r="R57" s="179">
        <f t="shared" ref="R57:R58" si="37">J57*0.25</f>
        <v>0</v>
      </c>
      <c r="S57" s="175"/>
    </row>
    <row r="58" spans="1:20" x14ac:dyDescent="0.2">
      <c r="A58" s="191"/>
      <c r="B58" s="125"/>
      <c r="C58" s="139"/>
      <c r="D58" s="146"/>
      <c r="E58" s="6"/>
      <c r="F58" s="126"/>
      <c r="G58" s="131"/>
      <c r="H58" s="146"/>
      <c r="I58" s="146"/>
      <c r="J58" s="150"/>
      <c r="K58" s="129">
        <f t="shared" si="0"/>
        <v>0</v>
      </c>
      <c r="L58" s="37"/>
      <c r="M58" s="122">
        <f t="shared" si="1"/>
        <v>0</v>
      </c>
      <c r="N58" s="6"/>
      <c r="O58" s="6"/>
      <c r="P58" s="122">
        <f t="shared" si="36"/>
        <v>0</v>
      </c>
      <c r="Q58" s="6"/>
      <c r="R58" s="122">
        <f t="shared" si="37"/>
        <v>0</v>
      </c>
      <c r="S58" s="6"/>
    </row>
    <row r="59" spans="1:20" x14ac:dyDescent="0.2">
      <c r="B59" s="146"/>
      <c r="C59" s="6"/>
      <c r="D59" s="6"/>
      <c r="E59" s="6"/>
      <c r="F59" s="151"/>
      <c r="G59" s="131"/>
      <c r="H59" s="6"/>
      <c r="I59" s="146"/>
      <c r="J59" s="150"/>
      <c r="K59" s="33">
        <f>H59+I59+J59+M59</f>
        <v>0</v>
      </c>
      <c r="L59" s="37"/>
      <c r="M59" s="122">
        <f t="shared" si="1"/>
        <v>0</v>
      </c>
      <c r="N59" s="6"/>
      <c r="O59" s="6"/>
      <c r="P59" s="122">
        <f t="shared" si="36"/>
        <v>0</v>
      </c>
      <c r="Q59" s="6"/>
      <c r="R59" s="122">
        <f t="shared" si="2"/>
        <v>0</v>
      </c>
      <c r="S59" s="6"/>
    </row>
    <row r="60" spans="1:20" x14ac:dyDescent="0.2">
      <c r="B60" s="7" t="s">
        <v>579</v>
      </c>
      <c r="H60" s="117">
        <f>SUM(H29:H58)</f>
        <v>0</v>
      </c>
      <c r="I60" s="117">
        <f>SUM(I29:I58)</f>
        <v>492.88</v>
      </c>
      <c r="J60" s="118">
        <f>SUM(J29:J59)</f>
        <v>625.37199999999996</v>
      </c>
      <c r="K60" s="118">
        <f>SUM(K29:K59)+0.01</f>
        <v>1412.8293999999999</v>
      </c>
      <c r="L60" s="116">
        <f>SUM(L29:L58)</f>
        <v>0</v>
      </c>
      <c r="M60" s="118">
        <f>SUM(M29:M59)+0.01</f>
        <v>294.57740000000001</v>
      </c>
      <c r="N60" s="118">
        <f>SUM(N29:N58)</f>
        <v>0</v>
      </c>
      <c r="O60" s="118">
        <f>SUM(O29:O58)</f>
        <v>0</v>
      </c>
      <c r="P60" s="118">
        <f>SUM(P29:P58)</f>
        <v>64.074399999999997</v>
      </c>
      <c r="Q60" s="118">
        <f>SUM(Q29:Q58)</f>
        <v>74.150000000000006</v>
      </c>
      <c r="R60" s="118">
        <f>SUM(R29:R59)+0.01</f>
        <v>156.35299999999998</v>
      </c>
      <c r="S60" s="118">
        <f>SUM(S29:S58)</f>
        <v>0</v>
      </c>
    </row>
    <row r="61" spans="1:20" x14ac:dyDescent="0.2">
      <c r="A61" s="142"/>
    </row>
    <row r="67" spans="3:18" x14ac:dyDescent="0.2">
      <c r="R67">
        <v>0</v>
      </c>
    </row>
    <row r="75" spans="3:18" x14ac:dyDescent="0.2">
      <c r="C75" s="132"/>
    </row>
  </sheetData>
  <mergeCells count="37"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A1:F2"/>
    <mergeCell ref="C3:F3"/>
    <mergeCell ref="C4:F5"/>
    <mergeCell ref="C6:F6"/>
    <mergeCell ref="C7:F8"/>
    <mergeCell ref="E28:F28"/>
    <mergeCell ref="B19:B27"/>
    <mergeCell ref="C19:D20"/>
    <mergeCell ref="C21:C27"/>
    <mergeCell ref="D21:D27"/>
    <mergeCell ref="E21:F2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6" t="str">
        <f>NASLOV!B5</f>
        <v>Markus Renz</v>
      </c>
      <c r="B1" s="226"/>
      <c r="C1" s="226"/>
      <c r="D1" s="226"/>
      <c r="E1" s="226"/>
      <c r="F1" s="226"/>
    </row>
    <row r="2" spans="1:18" x14ac:dyDescent="0.2">
      <c r="A2" s="226"/>
      <c r="B2" s="226"/>
      <c r="C2" s="226"/>
      <c r="D2" s="226"/>
      <c r="E2" s="226"/>
      <c r="F2" s="226"/>
    </row>
    <row r="3" spans="1:18" x14ac:dyDescent="0.2">
      <c r="C3" s="224" t="str">
        <f>INDEX(PRIJEVODI!B:D,MATCH("URA75-001",PRIJEVODI!A:A,0),MATCH(NASLOV!$B$2,PRIJEVODI!$B$1:$D$1,0))</f>
        <v>STEUERPFLICHTIGER: NAME / NACHNAME</v>
      </c>
      <c r="D3" s="224"/>
      <c r="E3" s="224"/>
      <c r="F3" s="224"/>
      <c r="Q3" s="229"/>
      <c r="R3" s="229"/>
    </row>
    <row r="4" spans="1:18" x14ac:dyDescent="0.2">
      <c r="C4" s="225" t="str">
        <f>NASLOV!B7</f>
        <v>Am Sonnblick 6, Lichtenau</v>
      </c>
      <c r="D4" s="225"/>
      <c r="E4" s="225"/>
      <c r="F4" s="225"/>
    </row>
    <row r="5" spans="1:18" x14ac:dyDescent="0.2">
      <c r="C5" s="225"/>
      <c r="D5" s="225"/>
      <c r="E5" s="225"/>
      <c r="F5" s="225"/>
    </row>
    <row r="6" spans="1:18" x14ac:dyDescent="0.2">
      <c r="C6" s="224" t="str">
        <f>INDEX(PRIJEVODI!B:D,MATCH("URA75-002",PRIJEVODI!A:A,0),MATCH(NASLOV!$B$2,PRIJEVODI!$B$1:$D$1,0))</f>
        <v>ADRESSE: ORT, STRASSE UND HAUSNUMMER</v>
      </c>
      <c r="D6" s="224"/>
      <c r="E6" s="224"/>
      <c r="F6" s="224"/>
    </row>
    <row r="7" spans="1:18" x14ac:dyDescent="0.2">
      <c r="C7" s="227"/>
      <c r="D7" s="227"/>
      <c r="E7" s="227"/>
      <c r="F7" s="227"/>
    </row>
    <row r="8" spans="1:18" x14ac:dyDescent="0.2">
      <c r="C8" s="227"/>
      <c r="D8" s="227"/>
      <c r="E8" s="227"/>
      <c r="F8" s="227"/>
    </row>
    <row r="9" spans="1:18" x14ac:dyDescent="0.2">
      <c r="C9" s="224" t="str">
        <f>INDEX(PRIJEVODI!B:D,MATCH("URA75-003",PRIJEVODI!A:A,0),MATCH(NASLOV!$B$2,PRIJEVODI!$B$1:$D$1,0))</f>
        <v xml:space="preserve">NUMMERIERUNG GEMÄSS DEM NATIONALEN KLASSIFIZIERUNGSSYSTEM  </v>
      </c>
      <c r="D9" s="224"/>
      <c r="E9" s="224"/>
      <c r="F9" s="224"/>
    </row>
    <row r="10" spans="1:18" x14ac:dyDescent="0.2">
      <c r="C10" s="224"/>
      <c r="D10" s="224"/>
      <c r="E10" s="224"/>
      <c r="F10" s="224"/>
    </row>
    <row r="11" spans="1:18" x14ac:dyDescent="0.2">
      <c r="C11" s="225" t="str">
        <f>NASLOV!B9</f>
        <v>HR6411581446</v>
      </c>
      <c r="D11" s="225"/>
      <c r="E11" s="225"/>
      <c r="F11" s="225"/>
    </row>
    <row r="12" spans="1:18" x14ac:dyDescent="0.2">
      <c r="C12" s="225"/>
      <c r="D12" s="225"/>
      <c r="E12" s="225"/>
      <c r="F12" s="225"/>
    </row>
    <row r="13" spans="1:18" x14ac:dyDescent="0.2">
      <c r="C13" s="224" t="str">
        <f>INDEX(PRIJEVODI!B:D,MATCH("URA75-004",PRIJEVODI!A:A,0),MATCH(NASLOV!$B$2,PRIJEVODI!$B$1:$D$1,0))</f>
        <v>STEUERNUMMER (UID)</v>
      </c>
      <c r="D13" s="224"/>
      <c r="E13" s="224"/>
      <c r="F13" s="224"/>
    </row>
    <row r="15" spans="1:18" x14ac:dyDescent="0.2">
      <c r="G15" s="228" t="s">
        <v>576</v>
      </c>
      <c r="H15" s="229"/>
      <c r="I15" s="229"/>
      <c r="J15" s="229"/>
      <c r="K15" s="229"/>
      <c r="L15" s="223"/>
    </row>
    <row r="16" spans="1:18" x14ac:dyDescent="0.2">
      <c r="G16" s="229"/>
      <c r="H16" s="229"/>
      <c r="I16" s="229"/>
      <c r="J16" s="229"/>
      <c r="K16" s="229"/>
      <c r="L16" s="223"/>
      <c r="O16" s="229" t="str">
        <f>INDEX(PRIJEVODI!B:D,MATCH("URA75-006",PRIJEVODI!A:A,0),MATCH(NASLOV!$B$2,PRIJEVODI!$B$1:$D$1,0))</f>
        <v>BETRAG IN KUNA UND LIPA</v>
      </c>
      <c r="P16" s="229"/>
      <c r="Q16" s="229"/>
      <c r="R16" s="229"/>
    </row>
    <row r="19" spans="2:19" ht="12.75" customHeight="1" x14ac:dyDescent="0.2">
      <c r="B19" s="198" t="str">
        <f>INDEX(PRIJEVODI!B:D,MATCH("URA75-007",PRIJEVODI!A:A,0),MATCH(NASLOV!$B$2,PRIJEVODI!$B$1:$D$1,0))</f>
        <v xml:space="preserve">ORDNUNGSNUMMER </v>
      </c>
      <c r="C19" s="201" t="str">
        <f>INDEX(PRIJEVODI!B:D,MATCH("URA75-008",PRIJEVODI!A:A,0),MATCH(NASLOV!$B$2,PRIJEVODI!$B$1:$D$1,0))</f>
        <v>RECHNUNG</v>
      </c>
      <c r="D19" s="202"/>
      <c r="E19" s="247" t="str">
        <f>INDEX(PRIJEVODI!B:D,MATCH("URA75-011",PRIJEVODI!A:A,0),MATCH(NASLOV!$B$2,PRIJEVODI!$B$1:$D$1,0))</f>
        <v>LIEFERANT (ANBIETER VON WAREN UND DIENSTLEISTUNGEN)</v>
      </c>
      <c r="F19" s="248"/>
      <c r="G19" s="248"/>
      <c r="H19" s="248"/>
      <c r="I19" s="248"/>
      <c r="J19" s="248"/>
      <c r="K19" s="248"/>
      <c r="L19" s="248"/>
      <c r="M19" s="245"/>
      <c r="N19" s="201" t="str">
        <f>INDEX(PRIJEVODI!B:D,MATCH("URA75-020",PRIJEVODI!A:A,0),MATCH(NASLOV!$B$2,PRIJEVODI!$B$1:$D$1,0))</f>
        <v>STEUER</v>
      </c>
      <c r="O19" s="232"/>
      <c r="P19" s="232"/>
      <c r="Q19" s="232"/>
      <c r="R19" s="232"/>
      <c r="S19" s="238"/>
    </row>
    <row r="20" spans="2:19" x14ac:dyDescent="0.2">
      <c r="B20" s="199"/>
      <c r="C20" s="203"/>
      <c r="D20" s="204"/>
      <c r="E20" s="241"/>
      <c r="F20" s="249"/>
      <c r="G20" s="249"/>
      <c r="H20" s="249"/>
      <c r="I20" s="249"/>
      <c r="J20" s="249"/>
      <c r="K20" s="249"/>
      <c r="L20" s="249"/>
      <c r="M20" s="250"/>
      <c r="N20" s="234"/>
      <c r="O20" s="235"/>
      <c r="P20" s="235"/>
      <c r="Q20" s="235"/>
      <c r="R20" s="235"/>
      <c r="S20" s="236"/>
    </row>
    <row r="21" spans="2:19" ht="12.75" customHeight="1" x14ac:dyDescent="0.2">
      <c r="B21" s="199"/>
      <c r="C21" s="211" t="str">
        <f>INDEX(PRIJEVODI!B:D,MATCH("URA75-009",PRIJEVODI!A:A,0),MATCH(NASLOV!$B$2,PRIJEVODI!$B$1:$D$1,0))</f>
        <v xml:space="preserve">NUMMER </v>
      </c>
      <c r="D21" s="211" t="str">
        <f>INDEX(PRIJEVODI!B:D,MATCH("URA75-010",PRIJEVODI!A:A,0),MATCH(NASLOV!$B$2,PRIJEVODI!$B$1:$D$1,0))</f>
        <v>DATUM</v>
      </c>
      <c r="E21" s="214" t="str">
        <f>INDEX(PRIJEVODI!B:D,MATCH("URA75-012",PRIJEVODI!A:A,0),MATCH(NASLOV!$B$2,PRIJEVODI!$B$1:$D$1,0))</f>
        <v>TITEL - NAME UND NACHNAME, GESCHÄFTSSITZ / SITZORT</v>
      </c>
      <c r="F21" s="215"/>
      <c r="G21" s="220" t="str">
        <f>INDEX(PRIJEVODI!B:D,MATCH("URA75-013",PRIJEVODI!A:A,0),MATCH(NASLOV!$B$2,PRIJEVODI!$B$1:$D$1,0))</f>
        <v>STEUERNUMMER (UID)</v>
      </c>
      <c r="H21" s="239" t="str">
        <f>INDEX(PRIJEVODI!B:D,MATCH("URA75-014",PRIJEVODI!A:A,0),MATCH(NASLOV!$B$2,PRIJEVODI!$B$1:$D$1,0))</f>
        <v>LIEFERWERT</v>
      </c>
      <c r="I21" s="248"/>
      <c r="J21" s="245"/>
      <c r="K21" s="220" t="str">
        <f>INDEX(PRIJEVODI!B:D,MATCH("URA75-018",PRIJEVODI!A:A,0),MATCH(NASLOV!$B$2,PRIJEVODI!$B$1:$D$1,0))</f>
        <v>GESAMTBETRAG DER RECHNUNG INKLUSIVE MwST.</v>
      </c>
      <c r="L21" s="79"/>
      <c r="M21" s="211" t="str">
        <f>INDEX(PRIJEVODI!B:D,MATCH("URA75-030",PRIJEVODI!A:A,0),MATCH(NASLOV!$B$2,PRIJEVODI!$B$1:$D$1,0))</f>
        <v>TOTAL</v>
      </c>
      <c r="N21" s="237">
        <v>0.05</v>
      </c>
      <c r="O21" s="238"/>
      <c r="P21" s="237">
        <v>0.13</v>
      </c>
      <c r="Q21" s="238"/>
      <c r="R21" s="237">
        <v>0.25</v>
      </c>
      <c r="S21" s="238"/>
    </row>
    <row r="22" spans="2:19" x14ac:dyDescent="0.2">
      <c r="B22" s="199"/>
      <c r="C22" s="212"/>
      <c r="D22" s="212"/>
      <c r="E22" s="216"/>
      <c r="F22" s="217"/>
      <c r="G22" s="221"/>
      <c r="H22" s="240"/>
      <c r="I22" s="251"/>
      <c r="J22" s="252"/>
      <c r="K22" s="221"/>
      <c r="L22" s="80"/>
      <c r="M22" s="212"/>
      <c r="N22" s="234"/>
      <c r="O22" s="236"/>
      <c r="P22" s="234"/>
      <c r="Q22" s="236"/>
      <c r="R22" s="234"/>
      <c r="S22" s="236"/>
    </row>
    <row r="23" spans="2:19" x14ac:dyDescent="0.2">
      <c r="B23" s="199"/>
      <c r="C23" s="212"/>
      <c r="D23" s="212"/>
      <c r="E23" s="216"/>
      <c r="F23" s="217"/>
      <c r="G23" s="221"/>
      <c r="H23" s="240"/>
      <c r="I23" s="251"/>
      <c r="J23" s="252"/>
      <c r="K23" s="221"/>
      <c r="L23" s="80"/>
      <c r="M23" s="212"/>
      <c r="N23" s="220" t="str">
        <f>INDEX(PRIJEVODI!B:D,MATCH("URA75-022",PRIJEVODI!A:A,0),MATCH(NASLOV!$B$2,PRIJEVODI!$B$1:$D$1,0))</f>
        <v>ABZUGSFÄHIG</v>
      </c>
      <c r="O23" s="220" t="str">
        <f>INDEX(PRIJEVODI!B:D,MATCH("URA75-023",PRIJEVODI!A:A,0),MATCH(NASLOV!$B$2,PRIJEVODI!$B$1:$D$1,0))</f>
        <v>NICHT ABZUGSFÄHIG</v>
      </c>
      <c r="P23" s="220" t="str">
        <f>INDEX(PRIJEVODI!B:D,MATCH("URA75-025",PRIJEVODI!A:A,0),MATCH(NASLOV!$B$2,PRIJEVODI!$B$1:$D$1,0))</f>
        <v>ABZUGSFÄHIG</v>
      </c>
      <c r="Q23" s="220" t="str">
        <f>INDEX(PRIJEVODI!B:D,MATCH("URA75-026",PRIJEVODI!A:A,0),MATCH(NASLOV!$B$2,PRIJEVODI!$B$1:$D$1,0))</f>
        <v>NICHT ABZUGSFÄHIG</v>
      </c>
      <c r="R23" s="220" t="str">
        <f>INDEX(PRIJEVODI!B:D,MATCH("URA75-028",PRIJEVODI!A:A,0),MATCH(NASLOV!$B$2,PRIJEVODI!$B$1:$D$1,0))</f>
        <v>ABZUGSFÄHIG</v>
      </c>
      <c r="S23" s="220" t="str">
        <f>INDEX(PRIJEVODI!B:D,MATCH("URA75-029",PRIJEVODI!A:A,0),MATCH(NASLOV!$B$2,PRIJEVODI!$B$1:$D$1,0))</f>
        <v>NICHT ABZUGSFÄHIG</v>
      </c>
    </row>
    <row r="24" spans="2:19" x14ac:dyDescent="0.2">
      <c r="B24" s="199"/>
      <c r="C24" s="212"/>
      <c r="D24" s="212"/>
      <c r="E24" s="216"/>
      <c r="F24" s="217"/>
      <c r="G24" s="221"/>
      <c r="H24" s="240"/>
      <c r="I24" s="251"/>
      <c r="J24" s="252"/>
      <c r="K24" s="221"/>
      <c r="L24" s="78" t="str">
        <f>INDEX(PRIJEVODI!B:D,MATCH("URA75-019",PRIJEVODI!A:A,0),MATCH(NASLOV!$B$2,PRIJEVODI!$B$1:$D$1,0))</f>
        <v>STEUERBEFREIUNGEN / ABZUGSFÄHIG</v>
      </c>
      <c r="M24" s="212"/>
      <c r="N24" s="221"/>
      <c r="O24" s="221"/>
      <c r="P24" s="221"/>
      <c r="Q24" s="221"/>
      <c r="R24" s="221"/>
      <c r="S24" s="221"/>
    </row>
    <row r="25" spans="2:19" x14ac:dyDescent="0.2">
      <c r="B25" s="199"/>
      <c r="C25" s="212"/>
      <c r="D25" s="212"/>
      <c r="E25" s="216"/>
      <c r="F25" s="217"/>
      <c r="G25" s="221"/>
      <c r="H25" s="241"/>
      <c r="I25" s="249"/>
      <c r="J25" s="250"/>
      <c r="K25" s="221"/>
      <c r="L25" s="80"/>
      <c r="M25" s="212"/>
      <c r="N25" s="221"/>
      <c r="O25" s="221"/>
      <c r="P25" s="221"/>
      <c r="Q25" s="221"/>
      <c r="R25" s="221"/>
      <c r="S25" s="221"/>
    </row>
    <row r="26" spans="2:19" x14ac:dyDescent="0.2">
      <c r="B26" s="199"/>
      <c r="C26" s="212"/>
      <c r="D26" s="212"/>
      <c r="E26" s="216"/>
      <c r="F26" s="217"/>
      <c r="G26" s="221"/>
      <c r="H26" s="246">
        <v>0.05</v>
      </c>
      <c r="I26" s="246">
        <v>0.1</v>
      </c>
      <c r="J26" s="246">
        <v>0.25</v>
      </c>
      <c r="K26" s="221"/>
      <c r="L26" s="80"/>
      <c r="M26" s="212"/>
      <c r="N26" s="221"/>
      <c r="O26" s="221"/>
      <c r="P26" s="221"/>
      <c r="Q26" s="221"/>
      <c r="R26" s="221"/>
      <c r="S26" s="221"/>
    </row>
    <row r="27" spans="2:19" x14ac:dyDescent="0.2">
      <c r="B27" s="200"/>
      <c r="C27" s="213"/>
      <c r="D27" s="213"/>
      <c r="E27" s="218"/>
      <c r="F27" s="219"/>
      <c r="G27" s="222"/>
      <c r="H27" s="213"/>
      <c r="I27" s="213"/>
      <c r="J27" s="213"/>
      <c r="K27" s="222"/>
      <c r="L27" s="81"/>
      <c r="M27" s="213"/>
      <c r="N27" s="222"/>
      <c r="O27" s="222"/>
      <c r="P27" s="222"/>
      <c r="Q27" s="222"/>
      <c r="R27" s="222"/>
      <c r="S27" s="222"/>
    </row>
    <row r="28" spans="2:19" x14ac:dyDescent="0.2">
      <c r="B28" s="77">
        <v>1</v>
      </c>
      <c r="C28" s="77">
        <v>2</v>
      </c>
      <c r="D28" s="77">
        <v>3</v>
      </c>
      <c r="E28" s="239">
        <v>4</v>
      </c>
      <c r="F28" s="245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5" t="s">
        <v>0</v>
      </c>
      <c r="N28" s="85">
        <v>11</v>
      </c>
      <c r="O28" s="87">
        <v>12</v>
      </c>
      <c r="P28" s="85">
        <v>13</v>
      </c>
      <c r="Q28" s="87">
        <v>14</v>
      </c>
      <c r="R28" s="85">
        <v>15</v>
      </c>
      <c r="S28" s="87">
        <v>16</v>
      </c>
    </row>
    <row r="29" spans="2:19" x14ac:dyDescent="0.2">
      <c r="B29" s="95"/>
      <c r="C29" s="90"/>
      <c r="D29" s="91"/>
      <c r="E29" s="92"/>
      <c r="F29" s="96"/>
      <c r="G29" s="92"/>
      <c r="H29" s="99"/>
      <c r="I29" s="99"/>
      <c r="J29" s="96"/>
      <c r="K29" s="100"/>
      <c r="L29" s="94"/>
      <c r="M29" s="101"/>
      <c r="N29" s="97"/>
      <c r="O29" s="97"/>
      <c r="P29" s="96"/>
      <c r="Q29" s="96"/>
      <c r="R29" s="98"/>
      <c r="S29" s="97"/>
    </row>
    <row r="30" spans="2:19" x14ac:dyDescent="0.2">
      <c r="B30" s="95"/>
      <c r="C30" s="90"/>
      <c r="D30" s="91"/>
      <c r="E30" s="92"/>
      <c r="F30" s="96"/>
      <c r="G30" s="92"/>
      <c r="H30" s="99"/>
      <c r="I30" s="99"/>
      <c r="J30" s="96"/>
      <c r="K30" s="100"/>
      <c r="L30" s="94"/>
      <c r="M30" s="101"/>
      <c r="N30" s="96"/>
      <c r="O30" s="96"/>
      <c r="P30" s="96"/>
      <c r="Q30" s="96"/>
      <c r="R30" s="98"/>
      <c r="S30" s="96"/>
    </row>
    <row r="31" spans="2:19" x14ac:dyDescent="0.2">
      <c r="B31" s="95"/>
      <c r="C31" s="90"/>
      <c r="D31" s="91"/>
      <c r="E31" s="92"/>
      <c r="F31" s="96"/>
      <c r="G31" s="92"/>
      <c r="H31" s="99"/>
      <c r="I31" s="99"/>
      <c r="J31" s="96"/>
      <c r="K31" s="100"/>
      <c r="L31" s="94"/>
      <c r="M31" s="101"/>
      <c r="N31" s="96"/>
      <c r="O31" s="96"/>
      <c r="P31" s="96"/>
      <c r="Q31" s="96"/>
      <c r="R31" s="98"/>
      <c r="S31" s="96"/>
    </row>
    <row r="32" spans="2:19" x14ac:dyDescent="0.2">
      <c r="B32" s="95"/>
      <c r="C32" s="90"/>
      <c r="D32" s="91"/>
      <c r="E32" s="92"/>
      <c r="F32" s="96"/>
      <c r="G32" s="92"/>
      <c r="H32" s="99"/>
      <c r="I32" s="99"/>
      <c r="J32" s="96"/>
      <c r="K32" s="100"/>
      <c r="L32" s="94"/>
      <c r="M32" s="101"/>
      <c r="N32" s="96"/>
      <c r="O32" s="96"/>
      <c r="P32" s="96"/>
      <c r="Q32" s="96"/>
      <c r="R32" s="98"/>
      <c r="S32" s="96"/>
    </row>
    <row r="33" spans="2:19" x14ac:dyDescent="0.2">
      <c r="B33" s="95"/>
      <c r="C33" s="90"/>
      <c r="D33" s="91"/>
      <c r="E33" s="92"/>
      <c r="F33" s="96"/>
      <c r="G33" s="92"/>
      <c r="H33" s="99"/>
      <c r="I33" s="99"/>
      <c r="J33" s="96"/>
      <c r="K33" s="100"/>
      <c r="L33" s="94"/>
      <c r="M33" s="101"/>
      <c r="N33" s="96"/>
      <c r="O33" s="96"/>
      <c r="P33" s="96"/>
      <c r="Q33" s="96"/>
      <c r="R33" s="98"/>
      <c r="S33" s="96"/>
    </row>
    <row r="34" spans="2:19" x14ac:dyDescent="0.2">
      <c r="B34" s="95"/>
      <c r="C34" s="90"/>
      <c r="D34" s="91"/>
      <c r="E34" s="92"/>
      <c r="F34" s="96"/>
      <c r="G34" s="92"/>
      <c r="H34" s="99"/>
      <c r="I34" s="99"/>
      <c r="J34" s="96"/>
      <c r="K34" s="100"/>
      <c r="L34" s="94"/>
      <c r="M34" s="101"/>
      <c r="N34" s="96"/>
      <c r="O34" s="96"/>
      <c r="P34" s="96"/>
      <c r="Q34" s="96"/>
      <c r="R34" s="98"/>
      <c r="S34" s="96"/>
    </row>
    <row r="35" spans="2:19" x14ac:dyDescent="0.2">
      <c r="B35" s="95"/>
      <c r="C35" s="90"/>
      <c r="D35" s="91"/>
      <c r="E35" s="92"/>
      <c r="F35" s="96"/>
      <c r="G35" s="92"/>
      <c r="H35" s="99"/>
      <c r="I35" s="99"/>
      <c r="J35" s="96"/>
      <c r="K35" s="100"/>
      <c r="L35" s="94"/>
      <c r="M35" s="101"/>
      <c r="N35" s="96"/>
      <c r="O35" s="96"/>
      <c r="P35" s="96"/>
      <c r="Q35" s="96"/>
      <c r="R35" s="98"/>
      <c r="S35" s="96"/>
    </row>
    <row r="36" spans="2:19" x14ac:dyDescent="0.2">
      <c r="B36" s="95"/>
      <c r="C36" s="90"/>
      <c r="D36" s="91"/>
      <c r="E36" s="92"/>
      <c r="F36" s="96"/>
      <c r="G36" s="92"/>
      <c r="H36" s="99"/>
      <c r="I36" s="99"/>
      <c r="J36" s="96"/>
      <c r="K36" s="100"/>
      <c r="L36" s="94"/>
      <c r="M36" s="101"/>
      <c r="N36" s="96"/>
      <c r="O36" s="96"/>
      <c r="P36" s="96"/>
      <c r="Q36" s="96"/>
      <c r="R36" s="98"/>
      <c r="S36" s="96"/>
    </row>
    <row r="37" spans="2:19" x14ac:dyDescent="0.2">
      <c r="K37" s="39">
        <f>SUM(K29:K36)</f>
        <v>0</v>
      </c>
    </row>
  </sheetData>
  <mergeCells count="37"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60" t="str">
        <f>INDEX(PRIJEVODI!B:D,MATCH("PDV-002",PRIJEVODI!A:A,0),MATCH(NASLOV!$B$2,PRIJEVODI!$B$1:$D$1,0))</f>
        <v>STEUERPFLICHTIGER (VOR- /NACHNAME UND ADRESSE: Ort, Strasse und Hausnummer)</v>
      </c>
      <c r="C5" s="269" t="str">
        <f>INDEX(PRIJEVODI!B:D,MATCH("PDV-003",PRIJEVODI!A:A,0),MATCH(NASLOV!$B$2,PRIJEVODI!$B$1:$D$1,0))</f>
        <v>STEUERLICHER VERTRETER
 (VOR- /NACHNAME UND ADRESSE:Ort, Strasse und Hausnummer)</v>
      </c>
      <c r="D5" s="266" t="str">
        <f>INDEX(PRIJEVODI!B:D,MATCH("PDV-004",PRIJEVODI!A:A,0),MATCH(NASLOV!$B$2,PRIJEVODI!$B$1:$D$1,0))</f>
        <v>ZUSTÄNDIGES FINANZAMT</v>
      </c>
    </row>
    <row r="6" spans="2:4" x14ac:dyDescent="0.2">
      <c r="B6" s="261"/>
      <c r="C6" s="270"/>
      <c r="D6" s="267"/>
    </row>
    <row r="7" spans="2:4" x14ac:dyDescent="0.2">
      <c r="B7" s="262"/>
      <c r="C7" s="271"/>
      <c r="D7" s="268"/>
    </row>
    <row r="8" spans="2:4" x14ac:dyDescent="0.2">
      <c r="B8" s="263" t="str">
        <f>+NASLOV!B5</f>
        <v>Markus Renz</v>
      </c>
      <c r="C8" s="272"/>
      <c r="D8" s="275" t="str">
        <f>NASLOV!B15</f>
        <v>Zagreb, Odjel za strane porezne obveznike</v>
      </c>
    </row>
    <row r="9" spans="2:4" x14ac:dyDescent="0.2">
      <c r="B9" s="264"/>
      <c r="C9" s="273"/>
      <c r="D9" s="276"/>
    </row>
    <row r="10" spans="2:4" ht="24.6" customHeight="1" x14ac:dyDescent="0.2">
      <c r="B10" s="265"/>
      <c r="C10" s="274"/>
      <c r="D10" s="257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54" t="str">
        <f>INDEX(PRIJEVODI!B:D,MATCH("PDV-005",PRIJEVODI!A:A,0),MATCH(NASLOV!$B$2,PRIJEVODI!$B$1:$D$1,0))</f>
        <v>KLASSIFIKATION GEMÄSS NOMENKLATUR
(TÄTIGKEITS-KENNZIFFER)</v>
      </c>
      <c r="C11" s="220" t="str">
        <f>INDEX(PRIJEVODI!B:D,MATCH("PDV-006",PRIJEVODI!A:A,0),MATCH(NASLOV!$B$2,PRIJEVODI!$B$1:$D$1,0))</f>
        <v>STEUERNUMMER</v>
      </c>
      <c r="D11" s="258"/>
    </row>
    <row r="12" spans="2:4" x14ac:dyDescent="0.2">
      <c r="B12" s="255"/>
      <c r="C12" s="221"/>
      <c r="D12" s="258"/>
    </row>
    <row r="13" spans="2:4" x14ac:dyDescent="0.2">
      <c r="B13" s="256"/>
      <c r="C13" s="222"/>
      <c r="D13" s="258"/>
    </row>
    <row r="14" spans="2:4" ht="13.5" thickBot="1" x14ac:dyDescent="0.25">
      <c r="B14" s="63" t="str">
        <f>+NASLOV!B9</f>
        <v>HR6411581446</v>
      </c>
      <c r="C14" s="14"/>
      <c r="D14" s="259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 t="e">
        <f>C17+C28</f>
        <v>#REF!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 t="e">
        <f>SUM(C29:C43)-0.01</f>
        <v>#REF!</v>
      </c>
      <c r="D28" s="69" t="e">
        <f>SUM(D29:D43)-0.01</f>
        <v>#REF!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'I-RA'!S62</f>
        <v>0</v>
      </c>
      <c r="D29" s="28">
        <f>'I-RA'!T62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'I-RA'!U62</f>
        <v>12969.457692307689</v>
      </c>
      <c r="D30" s="70">
        <f>'I-RA'!V62</f>
        <v>1686.0295000000001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 t="e">
        <f>+C54</f>
        <v>#REF!</v>
      </c>
      <c r="D38" s="70" t="e">
        <f>+C38*0.25</f>
        <v>#REF!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 t="e">
        <f>SUM(C45:C59)-0.01</f>
        <v>#REF!</v>
      </c>
      <c r="D44" s="69" t="e">
        <f>SUM(D45:D59)-0.01</f>
        <v>#REF!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+'U-RA'!H60</f>
        <v>0</v>
      </c>
      <c r="D45" s="71">
        <f>+'U-RA'!N60</f>
        <v>0</v>
      </c>
      <c r="H45" s="39">
        <f>+D30-D46-D47</f>
        <v>1465.6021000000001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+'U-RA'!I60</f>
        <v>492.88</v>
      </c>
      <c r="D46" s="70">
        <f>+C46*0.13</f>
        <v>64.074399999999997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+'U-RA'!J60</f>
        <v>625.37199999999996</v>
      </c>
      <c r="D47" s="70">
        <f>+C47*0.25+0.01</f>
        <v>156.35299999999998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 t="e">
        <f>+'IC Aq'!#REF!+'IC Aq'!J29</f>
        <v>#REF!</v>
      </c>
      <c r="D54" s="70" t="e">
        <f>+'IC Aq'!#REF!+'IC Aq'!R29</f>
        <v>#REF!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 t="e">
        <f>D28-D44</f>
        <v>#REF!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 t="e">
        <f>+D60+D61</f>
        <v>#REF!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53" t="s">
        <v>460</v>
      </c>
      <c r="B72" s="253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6" t="str">
        <f>NASLOV!B5</f>
        <v>Markus Renz</v>
      </c>
      <c r="B1" s="226"/>
      <c r="C1" s="226"/>
      <c r="D1" s="226"/>
      <c r="E1" s="226"/>
      <c r="F1" s="226"/>
    </row>
    <row r="2" spans="1:18" x14ac:dyDescent="0.2">
      <c r="A2" s="226"/>
      <c r="B2" s="226"/>
      <c r="C2" s="226"/>
      <c r="D2" s="226"/>
      <c r="E2" s="226"/>
      <c r="F2" s="226"/>
    </row>
    <row r="3" spans="1:18" x14ac:dyDescent="0.2">
      <c r="C3" s="224" t="str">
        <f>INDEX(PRIJEVODI!B:D,MATCH("URA75-001",PRIJEVODI!A:A,0),MATCH(NASLOV!$B$2,PRIJEVODI!$B$1:$D$1,0))</f>
        <v>STEUERPFLICHTIGER: NAME / NACHNAME</v>
      </c>
      <c r="D3" s="224"/>
      <c r="E3" s="224"/>
      <c r="F3" s="224"/>
      <c r="Q3" s="229"/>
      <c r="R3" s="229"/>
    </row>
    <row r="4" spans="1:18" x14ac:dyDescent="0.2">
      <c r="C4" s="225" t="str">
        <f>NASLOV!B7</f>
        <v>Am Sonnblick 6, Lichtenau</v>
      </c>
      <c r="D4" s="225"/>
      <c r="E4" s="225"/>
      <c r="F4" s="225"/>
    </row>
    <row r="5" spans="1:18" x14ac:dyDescent="0.2">
      <c r="C5" s="225"/>
      <c r="D5" s="225"/>
      <c r="E5" s="225"/>
      <c r="F5" s="225"/>
    </row>
    <row r="6" spans="1:18" x14ac:dyDescent="0.2">
      <c r="C6" s="224" t="str">
        <f>INDEX(PRIJEVODI!B:D,MATCH("URA75-002",PRIJEVODI!A:A,0),MATCH(NASLOV!$B$2,PRIJEVODI!$B$1:$D$1,0))</f>
        <v>ADRESSE: ORT, STRASSE UND HAUSNUMMER</v>
      </c>
      <c r="D6" s="224"/>
      <c r="E6" s="224"/>
      <c r="F6" s="224"/>
    </row>
    <row r="7" spans="1:18" x14ac:dyDescent="0.2">
      <c r="C7" s="227"/>
      <c r="D7" s="227"/>
      <c r="E7" s="227"/>
      <c r="F7" s="227"/>
    </row>
    <row r="8" spans="1:18" x14ac:dyDescent="0.2">
      <c r="C8" s="227"/>
      <c r="D8" s="227"/>
      <c r="E8" s="227"/>
      <c r="F8" s="227"/>
    </row>
    <row r="9" spans="1:18" x14ac:dyDescent="0.2">
      <c r="C9" s="224" t="str">
        <f>INDEX(PRIJEVODI!B:D,MATCH("URA75-003",PRIJEVODI!A:A,0),MATCH(NASLOV!$B$2,PRIJEVODI!$B$1:$D$1,0))</f>
        <v xml:space="preserve">NUMMERIERUNG GEMÄSS DEM NATIONALEN KLASSIFIZIERUNGSSYSTEM  </v>
      </c>
      <c r="D9" s="224"/>
      <c r="E9" s="224"/>
      <c r="F9" s="224"/>
    </row>
    <row r="10" spans="1:18" x14ac:dyDescent="0.2">
      <c r="C10" s="224"/>
      <c r="D10" s="224"/>
      <c r="E10" s="224"/>
      <c r="F10" s="224"/>
    </row>
    <row r="11" spans="1:18" x14ac:dyDescent="0.2">
      <c r="C11" s="225" t="str">
        <f>NASLOV!B9</f>
        <v>HR6411581446</v>
      </c>
      <c r="D11" s="225"/>
      <c r="E11" s="225"/>
      <c r="F11" s="225"/>
    </row>
    <row r="12" spans="1:18" x14ac:dyDescent="0.2">
      <c r="C12" s="225"/>
      <c r="D12" s="225"/>
      <c r="E12" s="225"/>
      <c r="F12" s="225"/>
    </row>
    <row r="13" spans="1:18" x14ac:dyDescent="0.2">
      <c r="C13" s="224" t="str">
        <f>INDEX(PRIJEVODI!B:D,MATCH("URA75-004",PRIJEVODI!A:A,0),MATCH(NASLOV!$B$2,PRIJEVODI!$B$1:$D$1,0))</f>
        <v>STEUERNUMMER (UID)</v>
      </c>
      <c r="D13" s="224"/>
      <c r="E13" s="224"/>
      <c r="F13" s="224"/>
    </row>
    <row r="15" spans="1:18" x14ac:dyDescent="0.2">
      <c r="G15" s="228" t="str">
        <f>INDEX(PRIJEVODI!B:D,MATCH("URA75-005",PRIJEVODI!A:A,0),MATCH(NASLOV!$B$2,PRIJEVODI!$B$1:$D$1,0))</f>
        <v>EINGANGSRECHNUNGBUCH - Art 75(2)</v>
      </c>
      <c r="H15" s="229"/>
      <c r="I15" s="229"/>
      <c r="J15" s="229"/>
      <c r="K15" s="229"/>
      <c r="L15" s="59"/>
    </row>
    <row r="16" spans="1:18" x14ac:dyDescent="0.2">
      <c r="G16" s="229"/>
      <c r="H16" s="229"/>
      <c r="I16" s="229"/>
      <c r="J16" s="229"/>
      <c r="K16" s="229"/>
      <c r="L16" s="59"/>
      <c r="O16" s="229" t="str">
        <f>INDEX(PRIJEVODI!B:D,MATCH("URA75-006",PRIJEVODI!A:A,0),MATCH(NASLOV!$B$2,PRIJEVODI!$B$1:$D$1,0))</f>
        <v>BETRAG IN KUNA UND LIPA</v>
      </c>
      <c r="P16" s="229"/>
      <c r="Q16" s="229"/>
      <c r="R16" s="229"/>
    </row>
    <row r="19" spans="2:19" ht="12.75" customHeight="1" x14ac:dyDescent="0.2">
      <c r="B19" s="198" t="str">
        <f>INDEX(PRIJEVODI!B:D,MATCH("URA75-007",PRIJEVODI!A:A,0),MATCH(NASLOV!$B$2,PRIJEVODI!$B$1:$D$1,0))</f>
        <v xml:space="preserve">ORDNUNGSNUMMER </v>
      </c>
      <c r="C19" s="201" t="str">
        <f>INDEX(PRIJEVODI!B:D,MATCH("URA75-008",PRIJEVODI!A:A,0),MATCH(NASLOV!$B$2,PRIJEVODI!$B$1:$D$1,0))</f>
        <v>RECHNUNG</v>
      </c>
      <c r="D19" s="202"/>
      <c r="E19" s="247" t="str">
        <f>INDEX(PRIJEVODI!B:D,MATCH("URA75-011",PRIJEVODI!A:A,0),MATCH(NASLOV!$B$2,PRIJEVODI!$B$1:$D$1,0))</f>
        <v>LIEFERANT (ANBIETER VON WAREN UND DIENSTLEISTUNGEN)</v>
      </c>
      <c r="F19" s="248"/>
      <c r="G19" s="248"/>
      <c r="H19" s="248"/>
      <c r="I19" s="248"/>
      <c r="J19" s="248"/>
      <c r="K19" s="248"/>
      <c r="L19" s="248"/>
      <c r="M19" s="245"/>
      <c r="N19" s="201" t="str">
        <f>INDEX(PRIJEVODI!B:D,MATCH("URA75-020",PRIJEVODI!A:A,0),MATCH(NASLOV!$B$2,PRIJEVODI!$B$1:$D$1,0))</f>
        <v>STEUER</v>
      </c>
      <c r="O19" s="232"/>
      <c r="P19" s="232"/>
      <c r="Q19" s="232"/>
      <c r="R19" s="232"/>
      <c r="S19" s="238"/>
    </row>
    <row r="20" spans="2:19" x14ac:dyDescent="0.2">
      <c r="B20" s="199"/>
      <c r="C20" s="203"/>
      <c r="D20" s="204"/>
      <c r="E20" s="241"/>
      <c r="F20" s="249"/>
      <c r="G20" s="249"/>
      <c r="H20" s="249"/>
      <c r="I20" s="249"/>
      <c r="J20" s="249"/>
      <c r="K20" s="249"/>
      <c r="L20" s="249"/>
      <c r="M20" s="250"/>
      <c r="N20" s="234"/>
      <c r="O20" s="235"/>
      <c r="P20" s="235"/>
      <c r="Q20" s="235"/>
      <c r="R20" s="235"/>
      <c r="S20" s="236"/>
    </row>
    <row r="21" spans="2:19" ht="12.75" customHeight="1" x14ac:dyDescent="0.2">
      <c r="B21" s="199"/>
      <c r="C21" s="211" t="str">
        <f>INDEX(PRIJEVODI!B:D,MATCH("URA75-009",PRIJEVODI!A:A,0),MATCH(NASLOV!$B$2,PRIJEVODI!$B$1:$D$1,0))</f>
        <v xml:space="preserve">NUMMER </v>
      </c>
      <c r="D21" s="211" t="str">
        <f>INDEX(PRIJEVODI!B:D,MATCH("URA75-010",PRIJEVODI!A:A,0),MATCH(NASLOV!$B$2,PRIJEVODI!$B$1:$D$1,0))</f>
        <v>DATUM</v>
      </c>
      <c r="E21" s="214" t="str">
        <f>INDEX(PRIJEVODI!B:D,MATCH("URA75-012",PRIJEVODI!A:A,0),MATCH(NASLOV!$B$2,PRIJEVODI!$B$1:$D$1,0))</f>
        <v>TITEL - NAME UND NACHNAME, GESCHÄFTSSITZ / SITZORT</v>
      </c>
      <c r="F21" s="215"/>
      <c r="G21" s="220" t="str">
        <f>INDEX(PRIJEVODI!B:D,MATCH("URA75-013",PRIJEVODI!A:A,0),MATCH(NASLOV!$B$2,PRIJEVODI!$B$1:$D$1,0))</f>
        <v>STEUERNUMMER (UID)</v>
      </c>
      <c r="H21" s="239" t="str">
        <f>INDEX(PRIJEVODI!B:D,MATCH("URA75-014",PRIJEVODI!A:A,0),MATCH(NASLOV!$B$2,PRIJEVODI!$B$1:$D$1,0))</f>
        <v>LIEFERWERT</v>
      </c>
      <c r="I21" s="248"/>
      <c r="J21" s="245"/>
      <c r="K21" s="220" t="str">
        <f>INDEX(PRIJEVODI!B:D,MATCH("URA75-018",PRIJEVODI!A:A,0),MATCH(NASLOV!$B$2,PRIJEVODI!$B$1:$D$1,0))</f>
        <v>GESAMTBETRAG DER RECHNUNG INKLUSIVE MwST.</v>
      </c>
      <c r="L21" s="56"/>
      <c r="M21" s="211" t="str">
        <f>INDEX(PRIJEVODI!B:D,MATCH("URA75-030",PRIJEVODI!A:A,0),MATCH(NASLOV!$B$2,PRIJEVODI!$B$1:$D$1,0))</f>
        <v>TOTAL</v>
      </c>
      <c r="N21" s="237">
        <v>0.05</v>
      </c>
      <c r="O21" s="238"/>
      <c r="P21" s="237">
        <v>0.13</v>
      </c>
      <c r="Q21" s="238"/>
      <c r="R21" s="237">
        <v>0.25</v>
      </c>
      <c r="S21" s="238"/>
    </row>
    <row r="22" spans="2:19" x14ac:dyDescent="0.2">
      <c r="B22" s="199"/>
      <c r="C22" s="212"/>
      <c r="D22" s="212"/>
      <c r="E22" s="216"/>
      <c r="F22" s="217"/>
      <c r="G22" s="221"/>
      <c r="H22" s="240"/>
      <c r="I22" s="251"/>
      <c r="J22" s="252"/>
      <c r="K22" s="221"/>
      <c r="L22" s="57"/>
      <c r="M22" s="212"/>
      <c r="N22" s="234"/>
      <c r="O22" s="236"/>
      <c r="P22" s="234"/>
      <c r="Q22" s="236"/>
      <c r="R22" s="234"/>
      <c r="S22" s="236"/>
    </row>
    <row r="23" spans="2:19" x14ac:dyDescent="0.2">
      <c r="B23" s="199"/>
      <c r="C23" s="212"/>
      <c r="D23" s="212"/>
      <c r="E23" s="216"/>
      <c r="F23" s="217"/>
      <c r="G23" s="221"/>
      <c r="H23" s="240"/>
      <c r="I23" s="251"/>
      <c r="J23" s="252"/>
      <c r="K23" s="221"/>
      <c r="L23" s="57"/>
      <c r="M23" s="212"/>
      <c r="N23" s="220" t="str">
        <f>INDEX(PRIJEVODI!B:D,MATCH("URA75-022",PRIJEVODI!A:A,0),MATCH(NASLOV!$B$2,PRIJEVODI!$B$1:$D$1,0))</f>
        <v>ABZUGSFÄHIG</v>
      </c>
      <c r="O23" s="220" t="str">
        <f>INDEX(PRIJEVODI!B:D,MATCH("URA75-023",PRIJEVODI!A:A,0),MATCH(NASLOV!$B$2,PRIJEVODI!$B$1:$D$1,0))</f>
        <v>NICHT ABZUGSFÄHIG</v>
      </c>
      <c r="P23" s="220" t="str">
        <f>INDEX(PRIJEVODI!B:D,MATCH("URA75-025",PRIJEVODI!A:A,0),MATCH(NASLOV!$B$2,PRIJEVODI!$B$1:$D$1,0))</f>
        <v>ABZUGSFÄHIG</v>
      </c>
      <c r="Q23" s="220" t="str">
        <f>INDEX(PRIJEVODI!B:D,MATCH("URA75-026",PRIJEVODI!A:A,0),MATCH(NASLOV!$B$2,PRIJEVODI!$B$1:$D$1,0))</f>
        <v>NICHT ABZUGSFÄHIG</v>
      </c>
      <c r="R23" s="220" t="str">
        <f>INDEX(PRIJEVODI!B:D,MATCH("URA75-028",PRIJEVODI!A:A,0),MATCH(NASLOV!$B$2,PRIJEVODI!$B$1:$D$1,0))</f>
        <v>ABZUGSFÄHIG</v>
      </c>
      <c r="S23" s="220" t="str">
        <f>INDEX(PRIJEVODI!B:D,MATCH("URA75-029",PRIJEVODI!A:A,0),MATCH(NASLOV!$B$2,PRIJEVODI!$B$1:$D$1,0))</f>
        <v>NICHT ABZUGSFÄHIG</v>
      </c>
    </row>
    <row r="24" spans="2:19" x14ac:dyDescent="0.2">
      <c r="B24" s="199"/>
      <c r="C24" s="212"/>
      <c r="D24" s="212"/>
      <c r="E24" s="216"/>
      <c r="F24" s="217"/>
      <c r="G24" s="221"/>
      <c r="H24" s="240"/>
      <c r="I24" s="251"/>
      <c r="J24" s="252"/>
      <c r="K24" s="221"/>
      <c r="L24" s="61" t="str">
        <f>INDEX(PRIJEVODI!B:D,MATCH("URA75-019",PRIJEVODI!A:A,0),MATCH(NASLOV!$B$2,PRIJEVODI!$B$1:$D$1,0))</f>
        <v>STEUERBEFREIUNGEN / ABZUGSFÄHIG</v>
      </c>
      <c r="M24" s="212"/>
      <c r="N24" s="221"/>
      <c r="O24" s="221"/>
      <c r="P24" s="221"/>
      <c r="Q24" s="221"/>
      <c r="R24" s="221"/>
      <c r="S24" s="221"/>
    </row>
    <row r="25" spans="2:19" x14ac:dyDescent="0.2">
      <c r="B25" s="199"/>
      <c r="C25" s="212"/>
      <c r="D25" s="212"/>
      <c r="E25" s="216"/>
      <c r="F25" s="217"/>
      <c r="G25" s="221"/>
      <c r="H25" s="241"/>
      <c r="I25" s="249"/>
      <c r="J25" s="250"/>
      <c r="K25" s="221"/>
      <c r="L25" s="57"/>
      <c r="M25" s="212"/>
      <c r="N25" s="221"/>
      <c r="O25" s="221"/>
      <c r="P25" s="221"/>
      <c r="Q25" s="221"/>
      <c r="R25" s="221"/>
      <c r="S25" s="221"/>
    </row>
    <row r="26" spans="2:19" x14ac:dyDescent="0.2">
      <c r="B26" s="199"/>
      <c r="C26" s="212"/>
      <c r="D26" s="212"/>
      <c r="E26" s="216"/>
      <c r="F26" s="217"/>
      <c r="G26" s="221"/>
      <c r="H26" s="246">
        <v>0.05</v>
      </c>
      <c r="I26" s="246">
        <v>0.1</v>
      </c>
      <c r="J26" s="246">
        <v>0.25</v>
      </c>
      <c r="K26" s="221"/>
      <c r="L26" s="57"/>
      <c r="M26" s="212"/>
      <c r="N26" s="221"/>
      <c r="O26" s="221"/>
      <c r="P26" s="221"/>
      <c r="Q26" s="221"/>
      <c r="R26" s="221"/>
      <c r="S26" s="221"/>
    </row>
    <row r="27" spans="2:19" x14ac:dyDescent="0.2">
      <c r="B27" s="200"/>
      <c r="C27" s="213"/>
      <c r="D27" s="213"/>
      <c r="E27" s="218"/>
      <c r="F27" s="219"/>
      <c r="G27" s="222"/>
      <c r="H27" s="213"/>
      <c r="I27" s="213"/>
      <c r="J27" s="213"/>
      <c r="K27" s="222"/>
      <c r="L27" s="58"/>
      <c r="M27" s="213"/>
      <c r="N27" s="222"/>
      <c r="O27" s="222"/>
      <c r="P27" s="222"/>
      <c r="Q27" s="222"/>
      <c r="R27" s="222"/>
      <c r="S27" s="222"/>
    </row>
    <row r="28" spans="2:19" x14ac:dyDescent="0.2">
      <c r="B28" s="60">
        <v>1</v>
      </c>
      <c r="C28" s="60">
        <v>2</v>
      </c>
      <c r="D28" s="60">
        <v>3</v>
      </c>
      <c r="E28" s="239">
        <v>4</v>
      </c>
      <c r="F28" s="24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29" t="str">
        <f>INDEX(PRIJEVODI!B:D,MATCH("ZP-001",PRIJEVODI!A:A,0),MATCH(NASLOV!$B$2,PRIJEVODI!$B$1:$D$1,0))</f>
        <v>FORMULAR ZM</v>
      </c>
      <c r="N2" s="229"/>
      <c r="O2" s="229"/>
    </row>
    <row r="3" spans="2:15" x14ac:dyDescent="0.2">
      <c r="M3" s="229"/>
      <c r="N3" s="229"/>
      <c r="O3" s="229"/>
    </row>
    <row r="5" spans="2:15" x14ac:dyDescent="0.2">
      <c r="K5" s="278" t="str">
        <f>INDEX(PRIJEVODI!B:D,MATCH("ZP-004",PRIJEVODI!A:A,0),MATCH(NASLOV!$B$2,PRIJEVODI!$B$1:$D$1,0))</f>
        <v>STEUERNUMMER (UID)   (3)</v>
      </c>
      <c r="L5" s="280"/>
      <c r="M5" s="272" t="s">
        <v>1</v>
      </c>
      <c r="N5" s="277" t="str">
        <f>+NASLOV!B9</f>
        <v>HR6411581446</v>
      </c>
      <c r="O5" s="238"/>
    </row>
    <row r="6" spans="2:15" x14ac:dyDescent="0.2">
      <c r="B6" s="214" t="str">
        <f>INDEX(PRIJEVODI!B:D,MATCH("ZP-002",PRIJEVODI!A:A,0),MATCH(NASLOV!$B$2,PRIJEVODI!$B$1:$D$1,0))</f>
        <v>ZUSTÄNDIGES FINANZAMT - STEUERVERWALTUNG (1)</v>
      </c>
      <c r="C6" s="215"/>
      <c r="D6" s="284" t="s">
        <v>570</v>
      </c>
      <c r="E6" s="285"/>
      <c r="K6" s="281"/>
      <c r="L6" s="283"/>
      <c r="M6" s="274"/>
      <c r="N6" s="234"/>
      <c r="O6" s="236"/>
    </row>
    <row r="7" spans="2:15" x14ac:dyDescent="0.2">
      <c r="B7" s="216"/>
      <c r="C7" s="217"/>
      <c r="D7" s="286"/>
      <c r="E7" s="287"/>
      <c r="K7" s="214" t="str">
        <f>INDEX(PRIJEVODI!B:D,MATCH("ZP-006",PRIJEVODI!A:A,0),MATCH(NASLOV!$B$2,PRIJEVODI!$B$1:$D$1,0))</f>
        <v>STEUERPFLICHTIGER  (Titel / Name und Nachname)      (4)</v>
      </c>
      <c r="L7" s="215"/>
      <c r="M7" s="239" t="str">
        <f>NASLOV!B5</f>
        <v>Markus Renz</v>
      </c>
      <c r="N7" s="248"/>
      <c r="O7" s="245"/>
    </row>
    <row r="8" spans="2:15" x14ac:dyDescent="0.2">
      <c r="B8" s="218"/>
      <c r="C8" s="219"/>
      <c r="D8" s="288"/>
      <c r="E8" s="289"/>
      <c r="K8" s="216"/>
      <c r="L8" s="217"/>
      <c r="M8" s="240"/>
      <c r="N8" s="251"/>
      <c r="O8" s="252"/>
    </row>
    <row r="9" spans="2:15" x14ac:dyDescent="0.2">
      <c r="B9" s="239" t="str">
        <f>INDEX(PRIJEVODI!B:D,MATCH("ZP-003",PRIJEVODI!A:A,0),MATCH(NASLOV!$B$2,PRIJEVODI!$B$1:$D$1,0))</f>
        <v>REGIONALBÜRO  (2)</v>
      </c>
      <c r="C9" s="245"/>
      <c r="D9" s="284" t="s">
        <v>571</v>
      </c>
      <c r="E9" s="285"/>
      <c r="K9" s="218"/>
      <c r="L9" s="219"/>
      <c r="M9" s="241"/>
      <c r="N9" s="249"/>
      <c r="O9" s="250"/>
    </row>
    <row r="10" spans="2:15" x14ac:dyDescent="0.2">
      <c r="B10" s="240"/>
      <c r="C10" s="252"/>
      <c r="D10" s="286"/>
      <c r="E10" s="287"/>
      <c r="K10" s="278" t="str">
        <f>INDEX(PRIJEVODI!B:D,MATCH("ZP-007",PRIJEVODI!A:A,0),MATCH(NASLOV!$B$2,PRIJEVODI!$B$1:$D$1,0))</f>
        <v>Adresse (Ort, Strasse und Hausnummer)    (5)</v>
      </c>
      <c r="L10" s="280"/>
      <c r="M10" s="278" t="str">
        <f>NASLOV!B7</f>
        <v>Am Sonnblick 6, Lichtenau</v>
      </c>
      <c r="N10" s="279"/>
      <c r="O10" s="280"/>
    </row>
    <row r="11" spans="2:15" x14ac:dyDescent="0.2">
      <c r="B11" s="241"/>
      <c r="C11" s="250"/>
      <c r="D11" s="288"/>
      <c r="E11" s="289"/>
      <c r="K11" s="281"/>
      <c r="L11" s="283"/>
      <c r="M11" s="281"/>
      <c r="N11" s="282"/>
      <c r="O11" s="283"/>
    </row>
    <row r="12" spans="2:15" x14ac:dyDescent="0.2">
      <c r="K12" s="214" t="str">
        <f>INDEX(PRIJEVODI!B:D,MATCH("ZP-008",PRIJEVODI!A:A,0),MATCH(NASLOV!$B$2,PRIJEVODI!$B$1:$D$1,0))</f>
        <v>Steuernummer UID des Steuervertreters   (6)</v>
      </c>
      <c r="L12" s="215"/>
      <c r="M12" s="272" t="s">
        <v>1</v>
      </c>
      <c r="N12" s="277"/>
      <c r="O12" s="238"/>
    </row>
    <row r="13" spans="2:15" x14ac:dyDescent="0.2">
      <c r="K13" s="218"/>
      <c r="L13" s="219"/>
      <c r="M13" s="274"/>
      <c r="N13" s="234"/>
      <c r="O13" s="236"/>
    </row>
    <row r="19" spans="2:15" x14ac:dyDescent="0.2">
      <c r="E19" s="7"/>
      <c r="F19" s="7"/>
      <c r="G19" s="228" t="str">
        <f>INDEX(PRIJEVODI!B:D,MATCH("ZP-010",PRIJEVODI!A:A,0),MATCH(NASLOV!$B$2,PRIJEVODI!$B$1:$D$1,0))</f>
        <v>Zusammenfassende Meldung IG Lieferung</v>
      </c>
      <c r="H19" s="228"/>
      <c r="I19" s="228"/>
      <c r="J19" s="228"/>
      <c r="K19" s="7"/>
      <c r="L19" s="7"/>
      <c r="M19" s="7"/>
    </row>
    <row r="20" spans="2:15" x14ac:dyDescent="0.2">
      <c r="E20" s="7"/>
      <c r="F20" s="7"/>
      <c r="G20" s="228"/>
      <c r="H20" s="228"/>
      <c r="I20" s="228"/>
      <c r="J20" s="228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90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90"/>
      <c r="G23" s="290"/>
      <c r="H23" s="290"/>
      <c r="I23" s="290"/>
      <c r="J23" s="290"/>
      <c r="K23" s="290"/>
      <c r="L23" s="290"/>
      <c r="M23" s="290"/>
    </row>
    <row r="24" spans="2:15" x14ac:dyDescent="0.2">
      <c r="E24" s="290"/>
      <c r="F24" s="290"/>
      <c r="G24" s="290"/>
      <c r="H24" s="290"/>
      <c r="I24" s="290"/>
      <c r="J24" s="290"/>
      <c r="K24" s="290"/>
      <c r="L24" s="290"/>
      <c r="M24" s="290"/>
    </row>
    <row r="25" spans="2:15" x14ac:dyDescent="0.2">
      <c r="E25" s="290"/>
      <c r="F25" s="290"/>
      <c r="G25" s="290"/>
      <c r="H25" s="290"/>
      <c r="I25" s="290"/>
      <c r="J25" s="290"/>
      <c r="K25" s="290"/>
      <c r="L25" s="290"/>
      <c r="M25" s="290"/>
    </row>
    <row r="28" spans="2:15" x14ac:dyDescent="0.2">
      <c r="B28" s="220" t="str">
        <f>INDEX(PRIJEVODI!B:D,MATCH("ZP-012",PRIJEVODI!A:A,0),MATCH(NASLOV!$B$2,PRIJEVODI!$B$1:$D$1,0))</f>
        <v>Ordnungsnummer (8)</v>
      </c>
      <c r="C28" s="220" t="str">
        <f>INDEX(PRIJEVODI!B:D,MATCH("ZP-013",PRIJEVODI!A:A,0),MATCH(NASLOV!$B$2,PRIJEVODI!$B$1:$D$1,0))</f>
        <v>Landescode (9)</v>
      </c>
      <c r="D28" s="214" t="str">
        <f>INDEX(PRIJEVODI!B:D,MATCH("ZP-014",PRIJEVODI!A:A,0),MATCH(NASLOV!$B$2,PRIJEVODI!$B$1:$D$1,0))</f>
        <v>Steuernummer UID des Empfängers (ohne Landesvorwahl)   (10)</v>
      </c>
      <c r="E28" s="215"/>
      <c r="F28" s="214" t="str">
        <f>INDEX(PRIJEVODI!B:D,MATCH("ZP-015",PRIJEVODI!A:A,0),MATCH(NASLOV!$B$2,PRIJEVODI!$B$1:$D$1,0))</f>
        <v>Wert der Güterlieferung (in Kuna und Lipa)    (11)</v>
      </c>
      <c r="G28" s="215"/>
      <c r="H28" s="214" t="str">
        <f>INDEX(PRIJEVODI!B:D,MATCH("ZP-016",PRIJEVODI!A:A,0),MATCH(NASLOV!$B$2,PRIJEVODI!$B$1:$D$1,0))</f>
        <v>Wert der Güterlieferung unter dem Verfahren 42 und 63 (in Kuna und Lipa)   (12)</v>
      </c>
      <c r="I28" s="215"/>
      <c r="J28" s="214" t="str">
        <f>INDEX(PRIJEVODI!B:D,MATCH("ZP-017",PRIJEVODI!A:A,0),MATCH(NASLOV!$B$2,PRIJEVODI!$B$1:$D$1,0))</f>
        <v>Wert der Güterlieferung im Rahmen des Dreiecksgeschäft  (in Kuna und Lipa)   (13)</v>
      </c>
      <c r="K28" s="291"/>
      <c r="L28" s="215"/>
      <c r="M28" s="214" t="str">
        <f>INDEX(PRIJEVODI!B:D,MATCH("ZP-018",PRIJEVODI!A:A,0),MATCH(NASLOV!$B$2,PRIJEVODI!$B$1:$D$1,0))</f>
        <v>Wert der erbrachten Dienstleistungen (in Kuna und Lipa)  (14)</v>
      </c>
      <c r="N28" s="291"/>
      <c r="O28" s="215"/>
    </row>
    <row r="29" spans="2:15" x14ac:dyDescent="0.2">
      <c r="B29" s="221"/>
      <c r="C29" s="221"/>
      <c r="D29" s="216"/>
      <c r="E29" s="217"/>
      <c r="F29" s="216"/>
      <c r="G29" s="217"/>
      <c r="H29" s="216"/>
      <c r="I29" s="217"/>
      <c r="J29" s="216"/>
      <c r="K29" s="292"/>
      <c r="L29" s="217"/>
      <c r="M29" s="216"/>
      <c r="N29" s="292"/>
      <c r="O29" s="217"/>
    </row>
    <row r="30" spans="2:15" x14ac:dyDescent="0.2">
      <c r="B30" s="221"/>
      <c r="C30" s="221"/>
      <c r="D30" s="216"/>
      <c r="E30" s="217"/>
      <c r="F30" s="216"/>
      <c r="G30" s="217"/>
      <c r="H30" s="216"/>
      <c r="I30" s="217"/>
      <c r="J30" s="216"/>
      <c r="K30" s="292"/>
      <c r="L30" s="217"/>
      <c r="M30" s="216"/>
      <c r="N30" s="292"/>
      <c r="O30" s="217"/>
    </row>
    <row r="31" spans="2:15" x14ac:dyDescent="0.2">
      <c r="B31" s="221"/>
      <c r="C31" s="221"/>
      <c r="D31" s="216"/>
      <c r="E31" s="217"/>
      <c r="F31" s="216"/>
      <c r="G31" s="217"/>
      <c r="H31" s="216"/>
      <c r="I31" s="217"/>
      <c r="J31" s="216"/>
      <c r="K31" s="292"/>
      <c r="L31" s="217"/>
      <c r="M31" s="216"/>
      <c r="N31" s="292"/>
      <c r="O31" s="217"/>
    </row>
    <row r="32" spans="2:15" x14ac:dyDescent="0.2">
      <c r="B32" s="221"/>
      <c r="C32" s="221"/>
      <c r="D32" s="216"/>
      <c r="E32" s="217"/>
      <c r="F32" s="216"/>
      <c r="G32" s="217"/>
      <c r="H32" s="216"/>
      <c r="I32" s="217"/>
      <c r="J32" s="216"/>
      <c r="K32" s="292"/>
      <c r="L32" s="217"/>
      <c r="M32" s="216"/>
      <c r="N32" s="292"/>
      <c r="O32" s="217"/>
    </row>
    <row r="33" spans="2:15" x14ac:dyDescent="0.2">
      <c r="B33" s="221"/>
      <c r="C33" s="221"/>
      <c r="D33" s="216"/>
      <c r="E33" s="217"/>
      <c r="F33" s="216"/>
      <c r="G33" s="217"/>
      <c r="H33" s="216"/>
      <c r="I33" s="217"/>
      <c r="J33" s="216"/>
      <c r="K33" s="292"/>
      <c r="L33" s="217"/>
      <c r="M33" s="216"/>
      <c r="N33" s="292"/>
      <c r="O33" s="217"/>
    </row>
    <row r="34" spans="2:15" x14ac:dyDescent="0.2">
      <c r="B34" s="221"/>
      <c r="C34" s="221"/>
      <c r="D34" s="216"/>
      <c r="E34" s="217"/>
      <c r="F34" s="216"/>
      <c r="G34" s="217"/>
      <c r="H34" s="216"/>
      <c r="I34" s="217"/>
      <c r="J34" s="216"/>
      <c r="K34" s="292"/>
      <c r="L34" s="217"/>
      <c r="M34" s="216"/>
      <c r="N34" s="292"/>
      <c r="O34" s="217"/>
    </row>
    <row r="35" spans="2:15" x14ac:dyDescent="0.2">
      <c r="B35" s="221"/>
      <c r="C35" s="221"/>
      <c r="D35" s="216"/>
      <c r="E35" s="217"/>
      <c r="F35" s="216"/>
      <c r="G35" s="217"/>
      <c r="H35" s="216"/>
      <c r="I35" s="217"/>
      <c r="J35" s="216"/>
      <c r="K35" s="292"/>
      <c r="L35" s="217"/>
      <c r="M35" s="216"/>
      <c r="N35" s="292"/>
      <c r="O35" s="217"/>
    </row>
    <row r="36" spans="2:15" x14ac:dyDescent="0.2">
      <c r="B36" s="221"/>
      <c r="C36" s="221"/>
      <c r="D36" s="216"/>
      <c r="E36" s="217"/>
      <c r="F36" s="216"/>
      <c r="G36" s="217"/>
      <c r="H36" s="216"/>
      <c r="I36" s="217"/>
      <c r="J36" s="216"/>
      <c r="K36" s="292"/>
      <c r="L36" s="217"/>
      <c r="M36" s="216"/>
      <c r="N36" s="292"/>
      <c r="O36" s="217"/>
    </row>
    <row r="37" spans="2:15" x14ac:dyDescent="0.2">
      <c r="B37" s="222"/>
      <c r="C37" s="222"/>
      <c r="D37" s="218"/>
      <c r="E37" s="219"/>
      <c r="F37" s="218"/>
      <c r="G37" s="219"/>
      <c r="H37" s="218"/>
      <c r="I37" s="219"/>
      <c r="J37" s="218"/>
      <c r="K37" s="293"/>
      <c r="L37" s="219"/>
      <c r="M37" s="218"/>
      <c r="N37" s="293"/>
      <c r="O37" s="219"/>
    </row>
    <row r="38" spans="2:15" x14ac:dyDescent="0.2">
      <c r="B38" s="2"/>
      <c r="C38" s="2"/>
      <c r="D38" s="294"/>
      <c r="E38" s="295"/>
      <c r="F38" s="297"/>
      <c r="G38" s="298"/>
      <c r="H38" s="294"/>
      <c r="I38" s="296"/>
      <c r="J38" s="294"/>
      <c r="K38" s="296"/>
      <c r="L38" s="295"/>
      <c r="M38" s="294"/>
      <c r="N38" s="296"/>
      <c r="O38" s="295"/>
    </row>
    <row r="39" spans="2:15" x14ac:dyDescent="0.2">
      <c r="B39" s="2"/>
      <c r="C39" s="2"/>
      <c r="D39" s="294"/>
      <c r="E39" s="295"/>
      <c r="F39" s="297"/>
      <c r="G39" s="298"/>
      <c r="H39" s="294"/>
      <c r="I39" s="296"/>
      <c r="J39" s="294"/>
      <c r="K39" s="296"/>
      <c r="L39" s="295"/>
      <c r="M39" s="294"/>
      <c r="N39" s="296"/>
      <c r="O39" s="295"/>
    </row>
    <row r="40" spans="2:15" x14ac:dyDescent="0.2">
      <c r="B40" s="2"/>
      <c r="C40" s="2"/>
      <c r="D40" s="294"/>
      <c r="E40" s="295"/>
      <c r="F40" s="297"/>
      <c r="G40" s="298"/>
      <c r="H40" s="294"/>
      <c r="I40" s="296"/>
      <c r="J40" s="294"/>
      <c r="K40" s="296"/>
      <c r="L40" s="295"/>
      <c r="M40" s="294"/>
      <c r="N40" s="296"/>
      <c r="O40" s="295"/>
    </row>
    <row r="41" spans="2:15" x14ac:dyDescent="0.2">
      <c r="B41" s="2"/>
      <c r="C41" s="2"/>
      <c r="D41" s="294"/>
      <c r="E41" s="295"/>
      <c r="F41" s="297"/>
      <c r="G41" s="298"/>
      <c r="H41" s="294"/>
      <c r="I41" s="296"/>
      <c r="J41" s="294"/>
      <c r="K41" s="296"/>
      <c r="L41" s="295"/>
      <c r="M41" s="294"/>
      <c r="N41" s="296"/>
      <c r="O41" s="295"/>
    </row>
    <row r="42" spans="2:15" x14ac:dyDescent="0.2">
      <c r="B42" s="2"/>
      <c r="C42" s="2"/>
      <c r="D42" s="294"/>
      <c r="E42" s="295"/>
      <c r="F42" s="297"/>
      <c r="G42" s="298"/>
      <c r="H42" s="294"/>
      <c r="I42" s="296"/>
      <c r="J42" s="294"/>
      <c r="K42" s="296"/>
      <c r="L42" s="295"/>
      <c r="M42" s="294"/>
      <c r="N42" s="296"/>
      <c r="O42" s="295"/>
    </row>
    <row r="43" spans="2:15" x14ac:dyDescent="0.2">
      <c r="B43" s="2"/>
      <c r="C43" s="2"/>
      <c r="D43" s="294"/>
      <c r="E43" s="295"/>
      <c r="F43" s="297"/>
      <c r="G43" s="298"/>
      <c r="H43" s="294"/>
      <c r="I43" s="296"/>
      <c r="J43" s="294"/>
      <c r="K43" s="296"/>
      <c r="L43" s="295"/>
      <c r="M43" s="294"/>
      <c r="N43" s="296"/>
      <c r="O43" s="295"/>
    </row>
    <row r="44" spans="2:15" x14ac:dyDescent="0.2">
      <c r="B44" s="2"/>
      <c r="C44" s="2"/>
      <c r="D44" s="294"/>
      <c r="E44" s="295"/>
      <c r="F44" s="297"/>
      <c r="G44" s="298"/>
      <c r="H44" s="294"/>
      <c r="I44" s="296"/>
      <c r="J44" s="294"/>
      <c r="K44" s="296"/>
      <c r="L44" s="295"/>
      <c r="M44" s="294"/>
      <c r="N44" s="296"/>
      <c r="O44" s="295"/>
    </row>
    <row r="45" spans="2:15" x14ac:dyDescent="0.2">
      <c r="B45" s="2"/>
      <c r="C45" s="2"/>
      <c r="D45" s="294"/>
      <c r="E45" s="295"/>
      <c r="F45" s="294"/>
      <c r="G45" s="295"/>
      <c r="H45" s="294"/>
      <c r="I45" s="296"/>
      <c r="J45" s="294"/>
      <c r="K45" s="296"/>
      <c r="L45" s="295"/>
      <c r="M45" s="294"/>
      <c r="N45" s="296"/>
      <c r="O45" s="295"/>
    </row>
    <row r="46" spans="2:15" x14ac:dyDescent="0.2">
      <c r="B46" s="2"/>
      <c r="C46" s="2"/>
      <c r="D46" s="294"/>
      <c r="E46" s="295"/>
      <c r="F46" s="294"/>
      <c r="G46" s="295"/>
      <c r="H46" s="294"/>
      <c r="I46" s="296"/>
      <c r="J46" s="294"/>
      <c r="K46" s="296"/>
      <c r="L46" s="295"/>
      <c r="M46" s="294"/>
      <c r="N46" s="296"/>
      <c r="O46" s="295"/>
    </row>
    <row r="47" spans="2:15" x14ac:dyDescent="0.2">
      <c r="B47" s="2"/>
      <c r="C47" s="2"/>
      <c r="D47" s="294"/>
      <c r="E47" s="295"/>
      <c r="F47" s="294"/>
      <c r="G47" s="295"/>
      <c r="H47" s="294"/>
      <c r="I47" s="296"/>
      <c r="J47" s="294"/>
      <c r="K47" s="296"/>
      <c r="L47" s="295"/>
      <c r="M47" s="294"/>
      <c r="N47" s="296"/>
      <c r="O47" s="295"/>
    </row>
    <row r="48" spans="2:15" x14ac:dyDescent="0.2">
      <c r="B48" s="2"/>
      <c r="C48" s="2"/>
      <c r="D48" s="294"/>
      <c r="E48" s="295"/>
      <c r="F48" s="294"/>
      <c r="G48" s="295"/>
      <c r="H48" s="294"/>
      <c r="I48" s="296"/>
      <c r="J48" s="294"/>
      <c r="K48" s="296"/>
      <c r="L48" s="295"/>
      <c r="M48" s="294"/>
      <c r="N48" s="296"/>
      <c r="O48" s="295"/>
    </row>
    <row r="49" spans="2:15" x14ac:dyDescent="0.2">
      <c r="B49" s="2"/>
      <c r="C49" s="2"/>
      <c r="D49" s="294"/>
      <c r="E49" s="295"/>
      <c r="F49" s="294"/>
      <c r="G49" s="295"/>
      <c r="H49" s="294"/>
      <c r="I49" s="296"/>
      <c r="J49" s="294"/>
      <c r="K49" s="296"/>
      <c r="L49" s="295"/>
      <c r="M49" s="294"/>
      <c r="N49" s="296"/>
      <c r="O49" s="295"/>
    </row>
    <row r="50" spans="2:15" x14ac:dyDescent="0.2">
      <c r="B50" s="2"/>
      <c r="C50" s="2"/>
      <c r="D50" s="294"/>
      <c r="E50" s="295"/>
      <c r="F50" s="299"/>
      <c r="G50" s="300"/>
      <c r="H50" s="294"/>
      <c r="I50" s="296"/>
      <c r="J50" s="294"/>
      <c r="K50" s="296"/>
      <c r="L50" s="295"/>
      <c r="M50" s="294"/>
      <c r="N50" s="296"/>
      <c r="O50" s="295"/>
    </row>
    <row r="51" spans="2:15" x14ac:dyDescent="0.2">
      <c r="B51" s="2"/>
      <c r="C51" s="2"/>
      <c r="D51" s="294"/>
      <c r="E51" s="295"/>
      <c r="F51" s="294"/>
      <c r="G51" s="295"/>
      <c r="H51" s="294"/>
      <c r="I51" s="296"/>
      <c r="J51" s="294"/>
      <c r="K51" s="296"/>
      <c r="L51" s="295"/>
      <c r="M51" s="294"/>
      <c r="N51" s="296"/>
      <c r="O51" s="295"/>
    </row>
    <row r="52" spans="2:15" x14ac:dyDescent="0.2">
      <c r="B52" s="2"/>
      <c r="C52" s="2"/>
      <c r="D52" s="294"/>
      <c r="E52" s="295"/>
      <c r="F52" s="294"/>
      <c r="G52" s="295"/>
      <c r="H52" s="294"/>
      <c r="I52" s="296"/>
      <c r="J52" s="294"/>
      <c r="K52" s="296"/>
      <c r="L52" s="295"/>
      <c r="M52" s="294"/>
      <c r="N52" s="296"/>
      <c r="O52" s="295"/>
    </row>
    <row r="53" spans="2:15" x14ac:dyDescent="0.2">
      <c r="B53" s="2"/>
      <c r="C53" s="2"/>
      <c r="D53" s="294"/>
      <c r="E53" s="295"/>
      <c r="F53" s="294"/>
      <c r="G53" s="295"/>
      <c r="H53" s="294"/>
      <c r="I53" s="296"/>
      <c r="J53" s="294"/>
      <c r="K53" s="296"/>
      <c r="L53" s="295"/>
      <c r="M53" s="294"/>
      <c r="N53" s="296"/>
      <c r="O53" s="295"/>
    </row>
    <row r="54" spans="2:15" x14ac:dyDescent="0.2">
      <c r="B54" s="2"/>
      <c r="C54" s="2"/>
      <c r="D54" s="294"/>
      <c r="E54" s="295"/>
      <c r="F54" s="294"/>
      <c r="G54" s="295"/>
      <c r="H54" s="294"/>
      <c r="I54" s="296"/>
      <c r="J54" s="294"/>
      <c r="K54" s="296"/>
      <c r="L54" s="295"/>
      <c r="M54" s="294"/>
      <c r="N54" s="296"/>
      <c r="O54" s="295"/>
    </row>
    <row r="55" spans="2:15" x14ac:dyDescent="0.2">
      <c r="B55" s="2"/>
      <c r="C55" s="2"/>
      <c r="D55" s="294"/>
      <c r="E55" s="295"/>
      <c r="F55" s="294"/>
      <c r="G55" s="295"/>
      <c r="H55" s="294"/>
      <c r="I55" s="296"/>
      <c r="J55" s="294"/>
      <c r="K55" s="296"/>
      <c r="L55" s="295"/>
      <c r="M55" s="294"/>
      <c r="N55" s="296"/>
      <c r="O55" s="295"/>
    </row>
    <row r="56" spans="2:15" x14ac:dyDescent="0.2">
      <c r="B56" s="2"/>
      <c r="C56" s="2"/>
      <c r="D56" s="294"/>
      <c r="E56" s="295"/>
      <c r="F56" s="294"/>
      <c r="G56" s="295"/>
      <c r="H56" s="294"/>
      <c r="I56" s="296"/>
      <c r="J56" s="294"/>
      <c r="K56" s="296"/>
      <c r="L56" s="295"/>
      <c r="M56" s="294"/>
      <c r="N56" s="296"/>
      <c r="O56" s="295"/>
    </row>
    <row r="57" spans="2:15" x14ac:dyDescent="0.2">
      <c r="B57" s="2"/>
      <c r="C57" s="2"/>
      <c r="D57" s="294"/>
      <c r="E57" s="295"/>
      <c r="F57" s="294"/>
      <c r="G57" s="295"/>
      <c r="H57" s="294"/>
      <c r="I57" s="296"/>
      <c r="J57" s="294"/>
      <c r="K57" s="296"/>
      <c r="L57" s="295"/>
      <c r="M57" s="294"/>
      <c r="N57" s="296"/>
      <c r="O57" s="295"/>
    </row>
    <row r="58" spans="2:15" x14ac:dyDescent="0.2">
      <c r="B58" s="2"/>
      <c r="C58" s="2"/>
      <c r="D58" s="294"/>
      <c r="E58" s="295"/>
      <c r="F58" s="294"/>
      <c r="G58" s="295"/>
      <c r="H58" s="294"/>
      <c r="I58" s="296"/>
      <c r="J58" s="294"/>
      <c r="K58" s="296"/>
      <c r="L58" s="295"/>
      <c r="M58" s="294"/>
      <c r="N58" s="296"/>
      <c r="O58" s="295"/>
    </row>
    <row r="59" spans="2:15" x14ac:dyDescent="0.2">
      <c r="B59" s="2"/>
      <c r="C59" s="2"/>
      <c r="D59" s="294"/>
      <c r="E59" s="295"/>
      <c r="F59" s="294"/>
      <c r="G59" s="295"/>
      <c r="H59" s="294"/>
      <c r="I59" s="296"/>
      <c r="J59" s="294"/>
      <c r="K59" s="296"/>
      <c r="L59" s="295"/>
      <c r="M59" s="294"/>
      <c r="N59" s="296"/>
      <c r="O59" s="295"/>
    </row>
    <row r="60" spans="2:15" x14ac:dyDescent="0.2">
      <c r="B60" s="2"/>
      <c r="C60" s="2"/>
      <c r="D60" s="294"/>
      <c r="E60" s="295"/>
      <c r="F60" s="294"/>
      <c r="G60" s="295"/>
      <c r="H60" s="294"/>
      <c r="I60" s="296"/>
      <c r="J60" s="294"/>
      <c r="K60" s="296"/>
      <c r="L60" s="295"/>
      <c r="M60" s="294"/>
      <c r="N60" s="296"/>
      <c r="O60" s="295"/>
    </row>
    <row r="61" spans="2:15" x14ac:dyDescent="0.2">
      <c r="B61" s="2"/>
      <c r="C61" s="2"/>
      <c r="D61" s="294"/>
      <c r="E61" s="295"/>
      <c r="F61" s="294"/>
      <c r="G61" s="295"/>
      <c r="H61" s="294"/>
      <c r="I61" s="296"/>
      <c r="J61" s="294"/>
      <c r="K61" s="296"/>
      <c r="L61" s="295"/>
      <c r="M61" s="294"/>
      <c r="N61" s="296"/>
      <c r="O61" s="295"/>
    </row>
    <row r="62" spans="2:15" x14ac:dyDescent="0.2">
      <c r="B62" s="2"/>
      <c r="C62" s="2"/>
      <c r="D62" s="294"/>
      <c r="E62" s="295"/>
      <c r="F62" s="294"/>
      <c r="G62" s="295"/>
      <c r="H62" s="294"/>
      <c r="I62" s="296"/>
      <c r="J62" s="294"/>
      <c r="K62" s="296"/>
      <c r="L62" s="295"/>
      <c r="M62" s="294"/>
      <c r="N62" s="296"/>
      <c r="O62" s="295"/>
    </row>
    <row r="63" spans="2:15" x14ac:dyDescent="0.2">
      <c r="B63" s="277" t="str">
        <f>INDEX(PRIJEVODI!B:D,MATCH("ZP-019",PRIJEVODI!A:A,0),MATCH(NASLOV!$B$2,PRIJEVODI!$B$1:$D$1,0))</f>
        <v>Gesamtwert</v>
      </c>
      <c r="C63" s="232"/>
      <c r="D63" s="232"/>
      <c r="E63" s="238"/>
      <c r="F63" s="277" t="s">
        <v>2</v>
      </c>
      <c r="G63" s="238"/>
      <c r="H63" s="277" t="s">
        <v>3</v>
      </c>
      <c r="I63" s="238"/>
      <c r="J63" s="277" t="s">
        <v>4</v>
      </c>
      <c r="K63" s="232"/>
      <c r="L63" s="238"/>
      <c r="M63" s="277" t="s">
        <v>5</v>
      </c>
      <c r="N63" s="232"/>
      <c r="O63" s="238"/>
    </row>
    <row r="64" spans="2:15" ht="25.5" customHeight="1" x14ac:dyDescent="0.2">
      <c r="B64" s="234"/>
      <c r="C64" s="235"/>
      <c r="D64" s="235"/>
      <c r="E64" s="236"/>
      <c r="F64" s="234"/>
      <c r="G64" s="236"/>
      <c r="H64" s="234"/>
      <c r="I64" s="236"/>
      <c r="J64" s="234"/>
      <c r="K64" s="235"/>
      <c r="L64" s="236"/>
      <c r="M64" s="234"/>
      <c r="N64" s="235"/>
      <c r="O64" s="236"/>
    </row>
    <row r="75" spans="2:15" x14ac:dyDescent="0.2">
      <c r="B75" s="239" t="str">
        <f>INDEX(PRIJEVODI!B:D,MATCH("ZP-020",PRIJEVODI!A:A,0),MATCH(NASLOV!$B$2,PRIJEVODI!$B$1:$D$1,0))</f>
        <v>Hiermit bestätige ich die Richtigkeit der genannten Daten</v>
      </c>
      <c r="C75" s="248"/>
      <c r="D75" s="248"/>
      <c r="E75" s="248"/>
      <c r="F75" s="248"/>
      <c r="G75" s="248"/>
      <c r="H75" s="245"/>
      <c r="K75" s="214" t="str">
        <f>INDEX(PRIJEVODI!B:D,MATCH("ZP-022",PRIJEVODI!A:A,0),MATCH(NASLOV!$B$2,PRIJEVODI!$B$1:$D$1,0))</f>
        <v>Unterschrift    (20)</v>
      </c>
      <c r="L75" s="215"/>
      <c r="M75" s="239"/>
      <c r="N75" s="248"/>
      <c r="O75" s="245"/>
    </row>
    <row r="76" spans="2:15" x14ac:dyDescent="0.2">
      <c r="B76" s="241"/>
      <c r="C76" s="249"/>
      <c r="D76" s="249"/>
      <c r="E76" s="249"/>
      <c r="F76" s="249"/>
      <c r="G76" s="249"/>
      <c r="H76" s="250"/>
      <c r="K76" s="218"/>
      <c r="L76" s="219"/>
      <c r="M76" s="241"/>
      <c r="N76" s="249"/>
      <c r="O76" s="250"/>
    </row>
    <row r="77" spans="2:15" x14ac:dyDescent="0.2">
      <c r="B77" s="214" t="str">
        <f>INDEX(PRIJEVODI!B:D,MATCH("ZP-021",PRIJEVODI!A:A,0),MATCH(NASLOV!$B$2,PRIJEVODI!$B$1:$D$1,0))</f>
        <v>Berechnung verfasst von (Name und Nachname)  (19)</v>
      </c>
      <c r="C77" s="291"/>
      <c r="D77" s="215"/>
      <c r="E77" s="239" t="s">
        <v>568</v>
      </c>
      <c r="F77" s="248"/>
      <c r="G77" s="248"/>
      <c r="H77" s="245"/>
      <c r="K77" s="214" t="str">
        <f>INDEX(PRIJEVODI!B:D,MATCH("ZP-023",PRIJEVODI!A:A,0),MATCH(NASLOV!$B$2,PRIJEVODI!$B$1:$D$1,0))</f>
        <v>Telefonnummer / Fax /E-Mail  (21)</v>
      </c>
      <c r="L77" s="215"/>
      <c r="M77" s="301" t="s">
        <v>569</v>
      </c>
      <c r="N77" s="291"/>
      <c r="O77" s="215"/>
    </row>
    <row r="78" spans="2:15" ht="27" customHeight="1" x14ac:dyDescent="0.2">
      <c r="B78" s="218"/>
      <c r="C78" s="293"/>
      <c r="D78" s="219"/>
      <c r="E78" s="241"/>
      <c r="F78" s="249"/>
      <c r="G78" s="249"/>
      <c r="H78" s="250"/>
      <c r="K78" s="218"/>
      <c r="L78" s="219"/>
      <c r="M78" s="218"/>
      <c r="N78" s="293"/>
      <c r="O78" s="219"/>
    </row>
  </sheetData>
  <mergeCells count="161"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2023-09-18T04:32:56Z</dcterms:modified>
</cp:coreProperties>
</file>